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Enrollment Management\Enrollment reports toward census\Summer I and II 2018\"/>
    </mc:Choice>
  </mc:AlternateContent>
  <bookViews>
    <workbookView xWindow="240" yWindow="615" windowWidth="12390" windowHeight="8205"/>
  </bookViews>
  <sheets>
    <sheet name="Sheet 1" sheetId="1" r:id="rId1"/>
    <sheet name="Chk" sheetId="3" r:id="rId2"/>
  </sheets>
  <definedNames>
    <definedName name="_xlnm.Print_Area" localSheetId="0">'Sheet 1'!$A$1:$L$49</definedName>
  </definedNames>
  <calcPr calcId="162913"/>
</workbook>
</file>

<file path=xl/calcChain.xml><?xml version="1.0" encoding="utf-8"?>
<calcChain xmlns="http://schemas.openxmlformats.org/spreadsheetml/2006/main">
  <c r="I27" i="1" l="1"/>
  <c r="C26" i="1" l="1"/>
  <c r="K21" i="1"/>
  <c r="J21" i="1"/>
  <c r="C38" i="1"/>
  <c r="I34" i="1"/>
  <c r="H35" i="1"/>
  <c r="B38" i="1"/>
  <c r="B32" i="1"/>
  <c r="H34" i="1"/>
  <c r="E23" i="1"/>
  <c r="D23" i="1"/>
  <c r="C20" i="1"/>
  <c r="C14" i="1"/>
  <c r="C13" i="1"/>
  <c r="C6" i="1"/>
  <c r="C10" i="1"/>
  <c r="B20" i="1"/>
  <c r="B13" i="1"/>
  <c r="B6" i="1"/>
  <c r="B10" i="1"/>
  <c r="I41" i="1"/>
  <c r="I39" i="1"/>
  <c r="I35" i="1"/>
  <c r="H41" i="1"/>
  <c r="I20" i="1"/>
  <c r="I19" i="1"/>
  <c r="I18" i="1"/>
  <c r="I16" i="1"/>
  <c r="I15" i="1"/>
  <c r="I13" i="1"/>
  <c r="I12" i="1"/>
  <c r="I9" i="1"/>
  <c r="I7" i="1"/>
  <c r="I6" i="1"/>
  <c r="I10" i="1"/>
  <c r="H20" i="1"/>
  <c r="H7" i="1"/>
  <c r="H19" i="1"/>
  <c r="H15" i="1"/>
  <c r="H18" i="1"/>
  <c r="H16" i="1"/>
  <c r="H6" i="1"/>
  <c r="H14" i="1"/>
  <c r="H13" i="1"/>
  <c r="H12" i="1"/>
  <c r="H9" i="1"/>
  <c r="H5" i="1"/>
  <c r="H10" i="1"/>
  <c r="B37" i="1"/>
  <c r="B33" i="1"/>
  <c r="H40" i="1"/>
  <c r="C40" i="1"/>
  <c r="C37" i="1"/>
  <c r="C33" i="1"/>
  <c r="C32" i="1"/>
  <c r="I40" i="1"/>
  <c r="E22" i="1" l="1"/>
  <c r="E21" i="1" l="1"/>
  <c r="E24" i="1" l="1"/>
  <c r="D24" i="1"/>
  <c r="C25" i="1"/>
  <c r="C3" i="3" s="1"/>
  <c r="B25" i="1"/>
  <c r="D26" i="1" l="1"/>
  <c r="E26" i="1" s="1"/>
  <c r="I25" i="1"/>
  <c r="H25" i="1"/>
  <c r="K44" i="1" l="1"/>
  <c r="F8" i="3"/>
  <c r="F3" i="3"/>
  <c r="J44" i="1"/>
  <c r="E8" i="3"/>
  <c r="E3" i="3"/>
  <c r="F4" i="3"/>
  <c r="H27" i="1"/>
  <c r="E4" i="3" s="1"/>
  <c r="D35" i="1"/>
  <c r="E35" i="1" s="1"/>
  <c r="D34" i="1"/>
  <c r="E34" i="1" s="1"/>
  <c r="D33" i="1"/>
  <c r="E33" i="1" s="1"/>
  <c r="D32" i="1"/>
  <c r="E32" i="1" s="1"/>
  <c r="C36" i="1" l="1"/>
  <c r="F6" i="3" s="1"/>
  <c r="B36" i="1"/>
  <c r="E6" i="3" s="1"/>
  <c r="B27" i="1" l="1"/>
  <c r="B4" i="3" s="1"/>
  <c r="B3" i="3"/>
  <c r="B8" i="3"/>
  <c r="C27" i="1"/>
  <c r="C4" i="3" s="1"/>
  <c r="C8" i="3"/>
  <c r="D21" i="1"/>
  <c r="D27" i="1" l="1"/>
  <c r="E27" i="1" s="1"/>
  <c r="J32" i="1"/>
  <c r="K32" i="1" s="1"/>
  <c r="J33" i="1"/>
  <c r="K33" i="1" s="1"/>
  <c r="J34" i="1"/>
  <c r="K34" i="1" s="1"/>
  <c r="J35" i="1"/>
  <c r="K35" i="1" s="1"/>
  <c r="J12" i="1" l="1"/>
  <c r="K12" i="1" s="1"/>
  <c r="K48" i="1"/>
  <c r="J47" i="1"/>
  <c r="J45" i="1"/>
  <c r="D40" i="1"/>
  <c r="E40" i="1" s="1"/>
  <c r="D39" i="1"/>
  <c r="E39" i="1" s="1"/>
  <c r="D38" i="1"/>
  <c r="E38" i="1" s="1"/>
  <c r="J27" i="1"/>
  <c r="K27" i="1" s="1"/>
  <c r="J26" i="1"/>
  <c r="K26" i="1" s="1"/>
  <c r="J18" i="1"/>
  <c r="K18" i="1" s="1"/>
  <c r="K46" i="1"/>
  <c r="D22" i="1"/>
  <c r="D20" i="1"/>
  <c r="E20" i="1" s="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E4" i="1" s="1"/>
  <c r="J22" i="1"/>
  <c r="K22" i="1" s="1"/>
  <c r="J20" i="1"/>
  <c r="K20" i="1" s="1"/>
  <c r="J19" i="1"/>
  <c r="K19" i="1" s="1"/>
  <c r="J17" i="1"/>
  <c r="K17" i="1" s="1"/>
  <c r="J16" i="1"/>
  <c r="K16" i="1" s="1"/>
  <c r="J15" i="1"/>
  <c r="K15" i="1" s="1"/>
  <c r="J14" i="1"/>
  <c r="K14" i="1" s="1"/>
  <c r="J13" i="1"/>
  <c r="K13" i="1" s="1"/>
  <c r="J11" i="1"/>
  <c r="K11" i="1" s="1"/>
  <c r="J10" i="1"/>
  <c r="K10" i="1" s="1"/>
  <c r="J9" i="1"/>
  <c r="K9" i="1" s="1"/>
  <c r="J8" i="1"/>
  <c r="K8" i="1" s="1"/>
  <c r="J7" i="1"/>
  <c r="K7" i="1" s="1"/>
  <c r="J6" i="1"/>
  <c r="K6" i="1" s="1"/>
  <c r="J5" i="1"/>
  <c r="K5" i="1" s="1"/>
  <c r="J4" i="1"/>
  <c r="K4" i="1" s="1"/>
  <c r="J38" i="1"/>
  <c r="K38" i="1" s="1"/>
  <c r="J39" i="1"/>
  <c r="K39" i="1" s="1"/>
  <c r="J40" i="1"/>
  <c r="K40" i="1" s="1"/>
  <c r="J41" i="1"/>
  <c r="K41" i="1" s="1"/>
  <c r="J46" i="1"/>
  <c r="J25" i="1"/>
  <c r="K25" i="1" s="1"/>
  <c r="J48" i="1"/>
  <c r="D25" i="1"/>
  <c r="E25" i="1" s="1"/>
  <c r="K47" i="1"/>
  <c r="K45" i="1"/>
  <c r="D36" i="1"/>
  <c r="E36" i="1" s="1"/>
  <c r="D37" i="1" l="1"/>
  <c r="E37" i="1" s="1"/>
</calcChain>
</file>

<file path=xl/sharedStrings.xml><?xml version="1.0" encoding="utf-8"?>
<sst xmlns="http://schemas.openxmlformats.org/spreadsheetml/2006/main" count="129" uniqueCount="94">
  <si>
    <t>Change</t>
  </si>
  <si>
    <t>%</t>
  </si>
  <si>
    <t>School</t>
  </si>
  <si>
    <t>SPEA</t>
  </si>
  <si>
    <t>Credit Hours Taught</t>
  </si>
  <si>
    <t>Headcount by Student School</t>
  </si>
  <si>
    <t>Sophomore</t>
  </si>
  <si>
    <t>Graduate</t>
  </si>
  <si>
    <t>Professional</t>
  </si>
  <si>
    <t>Non-Resident</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</si>
  <si>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</si>
  <si>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</si>
  <si>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</si>
  <si>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</si>
  <si>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</si>
  <si>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</si>
  <si>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</si>
  <si>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</si>
  <si>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</si>
  <si>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</si>
  <si>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</si>
  <si>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</si>
  <si>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PETM</t>
  </si>
  <si>
    <t>Dentistry</t>
  </si>
  <si>
    <t>Education</t>
  </si>
  <si>
    <t>Nursing</t>
  </si>
  <si>
    <t>Science</t>
  </si>
  <si>
    <t>University College</t>
  </si>
  <si>
    <t>Health &amp; Rehab</t>
  </si>
  <si>
    <t>Engineering-Tech</t>
  </si>
  <si>
    <t>Non-Residents as Share of Campus Totals</t>
  </si>
  <si>
    <t>Freshman</t>
  </si>
  <si>
    <t>Junior</t>
  </si>
  <si>
    <t>Senior</t>
  </si>
  <si>
    <t>Grad Non-Degree</t>
  </si>
  <si>
    <t>UG Non-Degree</t>
  </si>
  <si>
    <t>Indianapolis Total</t>
  </si>
  <si>
    <t>Indianapolis Enrollment</t>
  </si>
  <si>
    <t>McKinney Law</t>
  </si>
  <si>
    <t>Undergrads</t>
  </si>
  <si>
    <t>Resident</t>
  </si>
  <si>
    <t xml:space="preserve">Herron Art  &amp; Design </t>
  </si>
  <si>
    <t>Internal School Change</t>
  </si>
  <si>
    <t>Fairbanks Public Health</t>
  </si>
  <si>
    <t>Tables with student level and enrollment by residency status are Indianapolis only</t>
  </si>
  <si>
    <t>Lilly Family Philanthropy</t>
  </si>
  <si>
    <t>Social Work</t>
  </si>
  <si>
    <t>Student Level</t>
  </si>
  <si>
    <t>Source:  IRDS Point-in-Cycle, Registrar, and UIRR Reports</t>
  </si>
  <si>
    <t>IUPUI Honors College</t>
  </si>
  <si>
    <t>IUPUI Combined#</t>
  </si>
  <si>
    <t>Informatics &amp; Computing</t>
  </si>
  <si>
    <t>Liberal Arts</t>
  </si>
  <si>
    <r>
      <t xml:space="preserve">^ Notes:  While most IUPUI students pursuing graduate studies enroll through the IUPUI school that offers the degree, </t>
    </r>
    <r>
      <rPr>
        <i/>
        <sz val="8"/>
        <rFont val="Arial"/>
        <family val="2"/>
      </rPr>
      <t xml:space="preserve">GRAD </t>
    </r>
    <r>
      <rPr>
        <sz val="8"/>
        <rFont val="Arial"/>
        <family val="2"/>
      </rPr>
      <t>holds students who enroll through the IU Graduate School.  This is primarily students in Liberal Arts and Medicine but also includes some students pursuing other IU graduate degrees. In this report most degree-seeking students have been attributed to their units.</t>
    </r>
  </si>
  <si>
    <r>
      <t>Undistributed Grad</t>
    </r>
    <r>
      <rPr>
        <vertAlign val="superscript"/>
        <sz val="11"/>
        <rFont val="Calibri"/>
        <family val="2"/>
      </rPr>
      <t>^</t>
    </r>
  </si>
  <si>
    <t>IN Total*</t>
  </si>
  <si>
    <t xml:space="preserve">*Total also adjusted for students enrolled in degrees offered through the Graduate School but who also have been distributed to schools housing their programs. Heads are counted only once in IN Total.  Credits are not affected.  </t>
  </si>
  <si>
    <t>2015 Indy credits</t>
  </si>
  <si>
    <t>2016 Indy credits</t>
  </si>
  <si>
    <t>2015 Indy Heads</t>
  </si>
  <si>
    <t>2016 Indy Heads</t>
  </si>
  <si>
    <t>totals in columns</t>
  </si>
  <si>
    <t>Indy+Colc</t>
  </si>
  <si>
    <t>Students Level</t>
  </si>
  <si>
    <t>Residency</t>
  </si>
  <si>
    <t>IU Online</t>
  </si>
  <si>
    <t>Summer II 2018</t>
  </si>
  <si>
    <t>Kelley Business **</t>
  </si>
  <si>
    <t>Medicine**</t>
  </si>
  <si>
    <t>First Day of Summer II</t>
  </si>
  <si>
    <t>Office of Institutional Research and Decision Support 7/2/2018</t>
  </si>
  <si>
    <t>7/3/2017</t>
  </si>
  <si>
    <t>7/2/2018</t>
  </si>
  <si>
    <t xml:space="preserve">-3 ug; -1 grad/prof; +0 non-degree </t>
  </si>
  <si>
    <t>-9 ug; -11 grad; +4 non-degree</t>
  </si>
  <si>
    <t>-49 ug; -8 grad</t>
  </si>
  <si>
    <t>+7 ug; -31 grad/prof</t>
  </si>
  <si>
    <t>-27 ug; +6 grad</t>
  </si>
  <si>
    <t>+7 ug; +27 grad; +4 non-degree</t>
  </si>
  <si>
    <t>+50 grad/prof; +1 non-degree</t>
  </si>
  <si>
    <t>-57 ug; -11 grad; +25 non-degree</t>
  </si>
  <si>
    <t>-2 ug; -4 grad/prof</t>
  </si>
  <si>
    <t>+4 ug; +19 grad</t>
  </si>
  <si>
    <t>-40 ug; +7 grad</t>
  </si>
  <si>
    <t>+1 ug; +33 grad</t>
  </si>
  <si>
    <t>-20 ug; -12 grad</t>
  </si>
  <si>
    <t>-76 ug; -5 grad; +31 non-degree</t>
  </si>
  <si>
    <t>-1 ug; +27 grad; +11 non-degree</t>
  </si>
  <si>
    <t>+0 non-degree</t>
  </si>
  <si>
    <t>-9 ug; -8 high school; -100 non-degree</t>
  </si>
  <si>
    <t>-59 ug; -109 grad; +0 non-degree</t>
  </si>
  <si>
    <t>-1 ug; -3 grad/prof</t>
  </si>
  <si>
    <t>** Includes headcount and credit hours from GRD1 Summer enrollment.  In 2017, there were 3 students in Medicine completing 12 credit hours and 81 students in Kelley completing 541.5 hours. As of this date for Summer 2018, there are 2 students in Medicine completing 6 credit hours and 41 students in Kelley completing 268 credit hours</t>
  </si>
  <si>
    <t>#There was one student in 2018 who was enrolled at both the Indianapolis and Columbus campus. The total has been adjusted. Credits are not affected.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</si>
</sst>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10409]#,##0;\-#,##0"/>
  </numFmts>
  <fonts count="37" x14ac:knownFonts="1">
    <font>
      <sz val="10"/>
      <name val="Arial"/>
    </font>
    <font>
      <sz val="11"/>
      <color theme="1"/>
      <name val="Calibri"/>
      <family val="2"/>
      <scheme val="minor"/>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vertAlign val="superscript"/>
      <sz val="11"/>
      <name val="Calibri"/>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i/>
      <sz val="10"/>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1"/>
      <color rgb="FF008000"/>
      <name val="Calibri"/>
      <family val="2"/>
      <scheme val="minor"/>
    </font>
    <font>
      <sz val="1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b/>
      <sz val="11"/>
      <color rgb="FFFF0000"/>
      <name val="Calibri"/>
      <family val="2"/>
      <scheme val="minor"/>
    </font>
    <font>
      <i/>
      <sz val="8"/>
      <color rgb="FFFF0000"/>
      <name val="Arial"/>
      <family val="2"/>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b/>
      <sz val="11"/>
      <color rgb="FF00B050"/>
      <name val="Calibri"/>
      <family val="2"/>
      <scheme val="minor"/>
    </font>
    <font>
      <sz val="11"/>
      <color rgb="FFC00000"/>
      <name val="Calibri"/>
      <family val="2"/>
      <scheme val="minor"/>
    </font>
    <font>
      <b/>
      <sz val="11"/>
      <color rgb="FFC0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39">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rgb="FF000000"/>
      </left>
      <right style="thin">
        <color rgb="FF000000"/>
      </right>
      <top style="thin">
        <color indexed="64"/>
      </top>
      <bottom style="thick">
        <color indexed="64"/>
      </bottom>
      <diagonal/>
    </border>
    <border>
      <left/>
      <right style="thin">
        <color indexed="64"/>
      </right>
      <top style="thin">
        <color indexed="64"/>
      </top>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thin">
        <color rgb="FF000000"/>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diagonal/>
    </border>
  </borders>
  <cellStyleXfs count="3">
    <xf numFmtId="0" fontId="0" fillId="0" borderId="0"/>
    <xf numFmtId="0" fontId="12" fillId="0" borderId="0"/>
    <xf numFmtId="0" fontId="13" fillId="0" borderId="0"/>
  </cellStyleXfs>
  <cellXfs count="210">
    <xf numFmtId="0" fontId="0" fillId="0" borderId="0" xfId="0"/>
    <xf numFmtId="0" fontId="2" fillId="0" borderId="0" xfId="0" applyFont="1"/>
    <xf numFmtId="0" fontId="4" fillId="0" borderId="0" xfId="0" applyFont="1" applyAlignment="1">
      <alignment horizontal="left"/>
    </xf>
    <xf numFmtId="0" fontId="6" fillId="0" borderId="0" xfId="0" applyFont="1" applyAlignment="1">
      <alignment horizontal="left"/>
    </xf>
    <xf numFmtId="49" fontId="0" fillId="0" borderId="0" xfId="0" applyNumberFormat="1"/>
    <xf numFmtId="0" fontId="14" fillId="0" borderId="0" xfId="0" applyFont="1" applyBorder="1"/>
    <xf numFmtId="0" fontId="4"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5" fillId="0" borderId="0" xfId="0" applyNumberFormat="1" applyFont="1" applyFill="1" applyBorder="1" applyAlignment="1">
      <alignment horizontal="center" wrapText="1"/>
    </xf>
    <xf numFmtId="3" fontId="0" fillId="0" borderId="0" xfId="0" applyNumberFormat="1" applyAlignment="1">
      <alignment horizontal="center"/>
    </xf>
    <xf numFmtId="164" fontId="16" fillId="0" borderId="1" xfId="0" applyNumberFormat="1" applyFont="1" applyBorder="1" applyAlignment="1">
      <alignment horizontal="center"/>
    </xf>
    <xf numFmtId="164" fontId="16" fillId="0" borderId="2" xfId="0" applyNumberFormat="1" applyFont="1" applyBorder="1" applyAlignment="1">
      <alignment horizontal="center"/>
    </xf>
    <xf numFmtId="0" fontId="0" fillId="0" borderId="0" xfId="0" applyAlignment="1">
      <alignment vertical="center"/>
    </xf>
    <xf numFmtId="0" fontId="4" fillId="2" borderId="0" xfId="0" applyFont="1" applyFill="1" applyAlignment="1">
      <alignment horizontal="left"/>
    </xf>
    <xf numFmtId="0" fontId="2" fillId="2" borderId="0" xfId="0" applyFont="1" applyFill="1"/>
    <xf numFmtId="0" fontId="0" fillId="2" borderId="0" xfId="0" applyFill="1"/>
    <xf numFmtId="0" fontId="0" fillId="2" borderId="0" xfId="0" applyFill="1" applyBorder="1"/>
    <xf numFmtId="0" fontId="16" fillId="0" borderId="4" xfId="0" applyFont="1" applyFill="1" applyBorder="1"/>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49" fontId="18" fillId="2" borderId="7" xfId="0" applyNumberFormat="1" applyFont="1" applyFill="1" applyBorder="1" applyAlignment="1">
      <alignment vertical="top" wrapText="1"/>
    </xf>
    <xf numFmtId="49" fontId="19" fillId="3" borderId="8" xfId="0" applyNumberFormat="1" applyFont="1" applyFill="1" applyBorder="1" applyAlignment="1">
      <alignment horizontal="center"/>
    </xf>
    <xf numFmtId="164" fontId="16" fillId="0" borderId="9" xfId="0" applyNumberFormat="1" applyFont="1" applyBorder="1" applyAlignment="1">
      <alignment horizontal="center"/>
    </xf>
    <xf numFmtId="164" fontId="16" fillId="0" borderId="10" xfId="0" applyNumberFormat="1" applyFont="1" applyBorder="1" applyAlignment="1">
      <alignment horizontal="center"/>
    </xf>
    <xf numFmtId="164" fontId="13" fillId="2" borderId="0" xfId="0" applyNumberFormat="1" applyFont="1" applyFill="1" applyBorder="1" applyAlignment="1">
      <alignment horizontal="right" vertical="center" wrapText="1"/>
    </xf>
    <xf numFmtId="0" fontId="16" fillId="0" borderId="4" xfId="0" applyFont="1" applyFill="1" applyBorder="1" applyAlignment="1">
      <alignment vertical="center"/>
    </xf>
    <xf numFmtId="0" fontId="16" fillId="2" borderId="4" xfId="0" applyFont="1" applyFill="1" applyBorder="1" applyAlignment="1">
      <alignment vertical="center"/>
    </xf>
    <xf numFmtId="0" fontId="16" fillId="2" borderId="0" xfId="0" applyFont="1" applyFill="1" applyBorder="1"/>
    <xf numFmtId="164" fontId="13" fillId="2" borderId="0" xfId="0" applyNumberFormat="1" applyFont="1" applyFill="1" applyBorder="1" applyAlignment="1">
      <alignment horizontal="center" vertical="center" wrapText="1"/>
    </xf>
    <xf numFmtId="0" fontId="16" fillId="2" borderId="0" xfId="0" applyFont="1" applyFill="1" applyBorder="1" applyAlignment="1">
      <alignment vertical="center"/>
    </xf>
    <xf numFmtId="0" fontId="0" fillId="2" borderId="0" xfId="0" applyFill="1" applyBorder="1" applyAlignment="1">
      <alignment vertical="center"/>
    </xf>
    <xf numFmtId="164" fontId="20" fillId="4" borderId="0" xfId="0" applyNumberFormat="1" applyFont="1" applyFill="1" applyBorder="1" applyAlignment="1">
      <alignment horizontal="center" wrapText="1"/>
    </xf>
    <xf numFmtId="0" fontId="5" fillId="2" borderId="0" xfId="0" applyFont="1" applyFill="1" applyBorder="1" applyAlignment="1">
      <alignment horizontal="left" wrapText="1"/>
    </xf>
    <xf numFmtId="0" fontId="5" fillId="2" borderId="0" xfId="0" applyFont="1" applyFill="1" applyBorder="1" applyAlignment="1">
      <alignment wrapText="1"/>
    </xf>
    <xf numFmtId="0" fontId="22" fillId="0" borderId="0" xfId="0" applyFont="1"/>
    <xf numFmtId="164" fontId="16" fillId="0" borderId="11" xfId="0" applyNumberFormat="1" applyFont="1" applyBorder="1" applyAlignment="1">
      <alignment horizontal="center"/>
    </xf>
    <xf numFmtId="3" fontId="23" fillId="2" borderId="9" xfId="0" applyNumberFormat="1" applyFont="1" applyFill="1" applyBorder="1" applyAlignment="1">
      <alignment horizontal="center" wrapText="1"/>
    </xf>
    <xf numFmtId="49" fontId="24" fillId="2" borderId="7" xfId="0" applyNumberFormat="1" applyFont="1" applyFill="1" applyBorder="1" applyAlignment="1">
      <alignment vertical="top" wrapText="1"/>
    </xf>
    <xf numFmtId="166" fontId="13" fillId="0" borderId="9" xfId="0" applyNumberFormat="1" applyFont="1" applyFill="1" applyBorder="1" applyAlignment="1">
      <alignment horizontal="center" vertical="center" wrapText="1" readingOrder="1"/>
    </xf>
    <xf numFmtId="164" fontId="23" fillId="2" borderId="1" xfId="0" applyNumberFormat="1" applyFont="1" applyFill="1" applyBorder="1" applyAlignment="1">
      <alignment horizontal="center" wrapText="1"/>
    </xf>
    <xf numFmtId="0" fontId="19" fillId="3" borderId="4" xfId="0" applyFont="1" applyFill="1" applyBorder="1"/>
    <xf numFmtId="0" fontId="19" fillId="2" borderId="4" xfId="0" applyFont="1" applyFill="1" applyBorder="1"/>
    <xf numFmtId="0" fontId="19" fillId="5" borderId="13" xfId="0" applyFont="1" applyFill="1" applyBorder="1"/>
    <xf numFmtId="0" fontId="16" fillId="0" borderId="4" xfId="0" applyFont="1" applyBorder="1" applyAlignment="1">
      <alignment vertical="center"/>
    </xf>
    <xf numFmtId="0" fontId="19" fillId="3" borderId="4" xfId="0" applyFont="1" applyFill="1" applyBorder="1" applyAlignment="1">
      <alignment vertical="center"/>
    </xf>
    <xf numFmtId="0" fontId="25" fillId="0" borderId="0" xfId="0" applyFont="1" applyAlignment="1">
      <alignment horizontal="center"/>
    </xf>
    <xf numFmtId="0" fontId="16" fillId="0" borderId="16" xfId="0" applyFont="1" applyBorder="1"/>
    <xf numFmtId="0" fontId="19" fillId="0" borderId="4" xfId="0" applyFont="1" applyBorder="1"/>
    <xf numFmtId="0" fontId="19" fillId="0" borderId="13" xfId="0" applyFont="1" applyBorder="1"/>
    <xf numFmtId="0" fontId="3" fillId="0" borderId="0" xfId="0" applyFont="1"/>
    <xf numFmtId="0" fontId="16" fillId="0" borderId="4" xfId="0" applyFont="1" applyBorder="1" applyAlignment="1">
      <alignment horizontal="left" vertical="center" wrapText="1"/>
    </xf>
    <xf numFmtId="0" fontId="26" fillId="3" borderId="4" xfId="0" applyFont="1" applyFill="1" applyBorder="1" applyAlignment="1">
      <alignment horizontal="left" vertical="center" wrapText="1"/>
    </xf>
    <xf numFmtId="0" fontId="16" fillId="0" borderId="13" xfId="0" applyFont="1" applyBorder="1" applyAlignment="1">
      <alignment horizontal="left" vertical="center" wrapText="1"/>
    </xf>
    <xf numFmtId="3" fontId="13" fillId="4" borderId="9" xfId="0" applyNumberFormat="1" applyFont="1" applyFill="1" applyBorder="1" applyAlignment="1">
      <alignment horizontal="center" vertical="center" wrapText="1" readingOrder="1"/>
    </xf>
    <xf numFmtId="0" fontId="16" fillId="2" borderId="0" xfId="0" applyFont="1" applyFill="1"/>
    <xf numFmtId="0" fontId="16" fillId="0" borderId="16" xfId="0" applyFont="1" applyBorder="1" applyAlignment="1">
      <alignment vertical="center"/>
    </xf>
    <xf numFmtId="0" fontId="19" fillId="0" borderId="4" xfId="0" applyFont="1" applyBorder="1" applyAlignment="1">
      <alignment vertical="center"/>
    </xf>
    <xf numFmtId="0" fontId="19" fillId="0" borderId="13" xfId="0" applyFont="1" applyBorder="1" applyAlignment="1">
      <alignment vertical="center"/>
    </xf>
    <xf numFmtId="166" fontId="27" fillId="3" borderId="23" xfId="0" applyNumberFormat="1" applyFont="1" applyFill="1" applyBorder="1" applyAlignment="1">
      <alignment horizontal="center" vertical="center" wrapText="1" readingOrder="1"/>
    </xf>
    <xf numFmtId="166" fontId="13" fillId="0" borderId="23" xfId="0" applyNumberFormat="1" applyFont="1" applyFill="1" applyBorder="1" applyAlignment="1">
      <alignment horizontal="center" vertical="center" wrapText="1" readingOrder="1"/>
    </xf>
    <xf numFmtId="166" fontId="13" fillId="0" borderId="24" xfId="0" applyNumberFormat="1" applyFont="1" applyFill="1" applyBorder="1" applyAlignment="1">
      <alignment horizontal="center" vertical="center" wrapText="1" readingOrder="1"/>
    </xf>
    <xf numFmtId="0" fontId="16" fillId="0" borderId="16" xfId="0" applyFont="1" applyFill="1" applyBorder="1"/>
    <xf numFmtId="0" fontId="19" fillId="3" borderId="17" xfId="0" applyFont="1" applyFill="1" applyBorder="1"/>
    <xf numFmtId="49" fontId="19" fillId="3" borderId="18" xfId="0" applyNumberFormat="1" applyFont="1" applyFill="1" applyBorder="1" applyAlignment="1">
      <alignment horizontal="center"/>
    </xf>
    <xf numFmtId="16" fontId="19" fillId="3" borderId="5" xfId="0" applyNumberFormat="1" applyFont="1" applyFill="1" applyBorder="1" applyAlignment="1">
      <alignment horizontal="center"/>
    </xf>
    <xf numFmtId="16" fontId="19" fillId="3" borderId="6" xfId="0" applyNumberFormat="1" applyFont="1" applyFill="1" applyBorder="1" applyAlignment="1">
      <alignment horizontal="center"/>
    </xf>
    <xf numFmtId="0" fontId="16" fillId="0" borderId="16" xfId="0" applyFont="1" applyFill="1" applyBorder="1" applyAlignment="1">
      <alignment vertical="center"/>
    </xf>
    <xf numFmtId="16" fontId="19" fillId="3" borderId="18" xfId="0" applyNumberFormat="1" applyFont="1" applyFill="1" applyBorder="1" applyAlignment="1">
      <alignment horizontal="center"/>
    </xf>
    <xf numFmtId="0" fontId="2" fillId="2" borderId="0" xfId="0" applyFont="1" applyFill="1" applyAlignment="1">
      <alignment horizontal="center"/>
    </xf>
    <xf numFmtId="3" fontId="13" fillId="0" borderId="23" xfId="0" applyNumberFormat="1" applyFont="1" applyFill="1" applyBorder="1" applyAlignment="1">
      <alignment horizontal="center" vertical="center" wrapText="1" readingOrder="1"/>
    </xf>
    <xf numFmtId="3" fontId="27" fillId="3" borderId="9" xfId="0" applyNumberFormat="1" applyFont="1" applyFill="1" applyBorder="1" applyAlignment="1">
      <alignment horizontal="center" vertical="center" wrapText="1" readingOrder="1"/>
    </xf>
    <xf numFmtId="166" fontId="27" fillId="5" borderId="24" xfId="0" applyNumberFormat="1" applyFont="1" applyFill="1" applyBorder="1" applyAlignment="1">
      <alignment horizontal="center" vertical="center" wrapText="1" readingOrder="1"/>
    </xf>
    <xf numFmtId="166" fontId="13" fillId="2" borderId="23" xfId="0" applyNumberFormat="1" applyFont="1" applyFill="1" applyBorder="1" applyAlignment="1">
      <alignment horizontal="center" vertical="center" wrapText="1" readingOrder="1"/>
    </xf>
    <xf numFmtId="166" fontId="13" fillId="0" borderId="9" xfId="1" applyNumberFormat="1" applyFont="1" applyFill="1" applyBorder="1" applyAlignment="1">
      <alignment horizontal="center" vertical="center" wrapText="1"/>
    </xf>
    <xf numFmtId="0" fontId="17" fillId="3" borderId="19" xfId="0" applyFont="1" applyFill="1" applyBorder="1" applyAlignment="1">
      <alignment vertical="center"/>
    </xf>
    <xf numFmtId="0" fontId="17" fillId="3" borderId="19" xfId="0" applyFont="1" applyFill="1" applyBorder="1"/>
    <xf numFmtId="0" fontId="17" fillId="3" borderId="5" xfId="0" applyFont="1" applyFill="1" applyBorder="1" applyAlignment="1">
      <alignment horizontal="center"/>
    </xf>
    <xf numFmtId="0" fontId="17" fillId="3" borderId="6" xfId="0" applyFont="1" applyFill="1" applyBorder="1" applyAlignment="1">
      <alignment horizontal="center"/>
    </xf>
    <xf numFmtId="166" fontId="13" fillId="2" borderId="9" xfId="0" applyNumberFormat="1" applyFont="1" applyFill="1" applyBorder="1" applyAlignment="1">
      <alignment horizontal="center" vertical="center" wrapText="1" readingOrder="1"/>
    </xf>
    <xf numFmtId="1" fontId="18" fillId="2" borderId="7" xfId="0" applyNumberFormat="1" applyFont="1" applyFill="1" applyBorder="1" applyAlignment="1">
      <alignment horizontal="left" vertical="center" wrapText="1"/>
    </xf>
    <xf numFmtId="0" fontId="2" fillId="2" borderId="0" xfId="0" applyFont="1" applyFill="1" applyAlignment="1">
      <alignment horizontal="left"/>
    </xf>
    <xf numFmtId="49" fontId="2" fillId="2" borderId="0" xfId="0" applyNumberFormat="1" applyFont="1" applyFill="1" applyAlignment="1">
      <alignment horizontal="left"/>
    </xf>
    <xf numFmtId="3" fontId="32" fillId="2" borderId="9" xfId="0" applyNumberFormat="1" applyFont="1" applyFill="1" applyBorder="1" applyAlignment="1">
      <alignment horizontal="center" wrapText="1"/>
    </xf>
    <xf numFmtId="3" fontId="33" fillId="2" borderId="9" xfId="0" applyNumberFormat="1" applyFont="1" applyFill="1" applyBorder="1" applyAlignment="1">
      <alignment horizontal="center" wrapText="1"/>
    </xf>
    <xf numFmtId="3" fontId="33" fillId="2" borderId="9" xfId="0" applyNumberFormat="1" applyFont="1" applyFill="1" applyBorder="1" applyAlignment="1">
      <alignment horizontal="center" vertical="center" wrapText="1"/>
    </xf>
    <xf numFmtId="164" fontId="32" fillId="2" borderId="1" xfId="0" applyNumberFormat="1" applyFont="1" applyFill="1" applyBorder="1" applyAlignment="1">
      <alignment horizontal="center" wrapText="1"/>
    </xf>
    <xf numFmtId="164" fontId="33" fillId="2" borderId="1" xfId="0" applyNumberFormat="1" applyFont="1" applyFill="1" applyBorder="1" applyAlignment="1">
      <alignment horizontal="center" wrapText="1"/>
    </xf>
    <xf numFmtId="164" fontId="33" fillId="2" borderId="1" xfId="0" applyNumberFormat="1" applyFont="1" applyFill="1" applyBorder="1" applyAlignment="1">
      <alignment horizontal="center" vertical="center" wrapText="1"/>
    </xf>
    <xf numFmtId="3" fontId="32" fillId="2" borderId="9" xfId="0" applyNumberFormat="1" applyFont="1" applyFill="1" applyBorder="1" applyAlignment="1">
      <alignment horizontal="center" vertical="center" wrapText="1"/>
    </xf>
    <xf numFmtId="164" fontId="32" fillId="2" borderId="12" xfId="0" applyNumberFormat="1" applyFont="1" applyFill="1" applyBorder="1" applyAlignment="1">
      <alignment horizontal="center" vertical="center" wrapText="1"/>
    </xf>
    <xf numFmtId="164" fontId="32" fillId="2" borderId="1" xfId="0" applyNumberFormat="1" applyFont="1" applyFill="1" applyBorder="1" applyAlignment="1">
      <alignment horizontal="center" vertical="center" wrapText="1"/>
    </xf>
    <xf numFmtId="0" fontId="17" fillId="3" borderId="19" xfId="0" applyFont="1" applyFill="1" applyBorder="1" applyAlignment="1">
      <alignment horizontal="left" vertical="center"/>
    </xf>
    <xf numFmtId="49" fontId="16" fillId="0" borderId="7" xfId="0" applyNumberFormat="1" applyFont="1" applyFill="1" applyBorder="1" applyAlignment="1">
      <alignment horizontal="left" vertical="center"/>
    </xf>
    <xf numFmtId="49" fontId="16" fillId="0" borderId="7" xfId="0" applyNumberFormat="1" applyFont="1" applyFill="1" applyBorder="1" applyAlignment="1">
      <alignment horizontal="left" vertical="center" wrapText="1"/>
    </xf>
    <xf numFmtId="49" fontId="21" fillId="0" borderId="7" xfId="0" applyNumberFormat="1" applyFont="1" applyFill="1" applyBorder="1" applyAlignment="1">
      <alignment horizontal="left" vertical="center" wrapText="1"/>
    </xf>
    <xf numFmtId="49" fontId="16" fillId="0" borderId="20" xfId="0" applyNumberFormat="1" applyFont="1" applyFill="1" applyBorder="1" applyAlignment="1">
      <alignment horizontal="left" vertical="center" wrapText="1"/>
    </xf>
    <xf numFmtId="49" fontId="21" fillId="0" borderId="20" xfId="0" applyNumberFormat="1" applyFont="1" applyFill="1" applyBorder="1" applyAlignment="1">
      <alignment horizontal="left" vertical="center" wrapText="1"/>
    </xf>
    <xf numFmtId="3" fontId="33" fillId="2" borderId="3" xfId="0" applyNumberFormat="1" applyFont="1" applyFill="1" applyBorder="1" applyAlignment="1">
      <alignment horizontal="center" wrapText="1"/>
    </xf>
    <xf numFmtId="164" fontId="33" fillId="2" borderId="12" xfId="0" applyNumberFormat="1" applyFont="1" applyFill="1" applyBorder="1" applyAlignment="1">
      <alignment horizontal="center" wrapText="1"/>
    </xf>
    <xf numFmtId="0" fontId="16" fillId="0" borderId="16" xfId="0" applyFont="1" applyFill="1" applyBorder="1" applyAlignment="1">
      <alignment horizontal="left" vertical="center" wrapText="1"/>
    </xf>
    <xf numFmtId="0" fontId="16" fillId="0" borderId="4" xfId="0" applyFont="1" applyFill="1" applyBorder="1" applyAlignment="1">
      <alignment horizontal="left" vertical="center" wrapText="1"/>
    </xf>
    <xf numFmtId="3" fontId="16" fillId="0" borderId="11" xfId="0" applyNumberFormat="1" applyFont="1" applyFill="1" applyBorder="1" applyAlignment="1">
      <alignment horizontal="center" vertical="center"/>
    </xf>
    <xf numFmtId="3" fontId="16" fillId="0" borderId="9" xfId="0" applyNumberFormat="1" applyFont="1" applyFill="1" applyBorder="1" applyAlignment="1">
      <alignment horizontal="center" vertical="center" wrapText="1"/>
    </xf>
    <xf numFmtId="3" fontId="19" fillId="0" borderId="9" xfId="0" applyNumberFormat="1" applyFont="1" applyFill="1" applyBorder="1" applyAlignment="1">
      <alignment horizontal="center" vertical="center"/>
    </xf>
    <xf numFmtId="3" fontId="19" fillId="0" borderId="10" xfId="0" applyNumberFormat="1" applyFont="1" applyFill="1" applyBorder="1" applyAlignment="1">
      <alignment horizontal="center" vertical="center"/>
    </xf>
    <xf numFmtId="3" fontId="25" fillId="0" borderId="0" xfId="0" applyNumberFormat="1" applyFont="1" applyFill="1" applyAlignment="1">
      <alignment horizontal="center"/>
    </xf>
    <xf numFmtId="3" fontId="16" fillId="0" borderId="11" xfId="0" applyNumberFormat="1" applyFont="1" applyFill="1" applyBorder="1" applyAlignment="1">
      <alignment horizontal="center"/>
    </xf>
    <xf numFmtId="3" fontId="16" fillId="0" borderId="9" xfId="0" applyNumberFormat="1" applyFont="1" applyFill="1" applyBorder="1" applyAlignment="1">
      <alignment horizontal="center"/>
    </xf>
    <xf numFmtId="3" fontId="19" fillId="0" borderId="9" xfId="0" applyNumberFormat="1" applyFont="1" applyFill="1" applyBorder="1" applyAlignment="1">
      <alignment horizontal="center"/>
    </xf>
    <xf numFmtId="3" fontId="19" fillId="0" borderId="10" xfId="0" applyNumberFormat="1" applyFont="1" applyFill="1" applyBorder="1" applyAlignment="1">
      <alignment horizontal="center"/>
    </xf>
    <xf numFmtId="3" fontId="3" fillId="0" borderId="0" xfId="0" applyNumberFormat="1" applyFont="1" applyFill="1" applyAlignment="1">
      <alignment horizontal="center"/>
    </xf>
    <xf numFmtId="3" fontId="16" fillId="2" borderId="9" xfId="0" applyNumberFormat="1" applyFont="1" applyFill="1" applyBorder="1" applyAlignment="1">
      <alignment horizontal="center" vertical="center" wrapText="1"/>
    </xf>
    <xf numFmtId="164" fontId="16" fillId="2" borderId="1" xfId="0" applyNumberFormat="1" applyFont="1" applyFill="1" applyBorder="1" applyAlignment="1">
      <alignment horizontal="center" vertical="center" wrapText="1"/>
    </xf>
    <xf numFmtId="3" fontId="16" fillId="0" borderId="9" xfId="0" applyNumberFormat="1" applyFont="1" applyFill="1" applyBorder="1" applyAlignment="1">
      <alignment horizontal="center" vertical="center"/>
    </xf>
    <xf numFmtId="164" fontId="36" fillId="3" borderId="1" xfId="0" applyNumberFormat="1" applyFont="1" applyFill="1" applyBorder="1" applyAlignment="1">
      <alignment horizontal="center" vertical="center" wrapText="1"/>
    </xf>
    <xf numFmtId="0" fontId="17" fillId="3" borderId="25" xfId="0" applyFont="1" applyFill="1" applyBorder="1" applyAlignment="1">
      <alignment horizontal="center" vertical="center"/>
    </xf>
    <xf numFmtId="0" fontId="17" fillId="3" borderId="26" xfId="0" applyFont="1" applyFill="1" applyBorder="1" applyAlignment="1">
      <alignment horizontal="center" vertical="center"/>
    </xf>
    <xf numFmtId="166" fontId="36" fillId="3" borderId="9" xfId="0" applyNumberFormat="1" applyFont="1" applyFill="1" applyBorder="1" applyAlignment="1">
      <alignment horizontal="center" vertical="center" wrapText="1" readingOrder="1"/>
    </xf>
    <xf numFmtId="166" fontId="35" fillId="0" borderId="9" xfId="0" applyNumberFormat="1" applyFont="1" applyFill="1" applyBorder="1" applyAlignment="1">
      <alignment horizontal="center" vertical="center" wrapText="1" readingOrder="1"/>
    </xf>
    <xf numFmtId="164" fontId="35" fillId="0" borderId="9" xfId="0" applyNumberFormat="1" applyFont="1" applyBorder="1" applyAlignment="1">
      <alignment horizontal="center" vertical="center" wrapText="1" readingOrder="1"/>
    </xf>
    <xf numFmtId="0" fontId="19" fillId="5" borderId="29" xfId="0" applyFont="1" applyFill="1" applyBorder="1"/>
    <xf numFmtId="3" fontId="19" fillId="5" borderId="30" xfId="0" applyNumberFormat="1" applyFont="1" applyFill="1" applyBorder="1" applyAlignment="1">
      <alignment horizontal="center" vertical="center" wrapText="1" readingOrder="1"/>
    </xf>
    <xf numFmtId="166" fontId="34" fillId="3" borderId="9" xfId="0" applyNumberFormat="1" applyFont="1" applyFill="1" applyBorder="1" applyAlignment="1">
      <alignment horizontal="center" vertical="center" wrapText="1" readingOrder="1"/>
    </xf>
    <xf numFmtId="164" fontId="34" fillId="3" borderId="1" xfId="0" applyNumberFormat="1" applyFont="1" applyFill="1" applyBorder="1" applyAlignment="1">
      <alignment horizontal="center" vertical="center" wrapText="1"/>
    </xf>
    <xf numFmtId="3" fontId="28" fillId="0" borderId="9" xfId="0" applyNumberFormat="1" applyFont="1" applyFill="1" applyBorder="1" applyAlignment="1">
      <alignment horizontal="center" vertical="center" wrapText="1"/>
    </xf>
    <xf numFmtId="164" fontId="28" fillId="0" borderId="1" xfId="0" applyNumberFormat="1" applyFont="1" applyFill="1" applyBorder="1" applyAlignment="1">
      <alignment horizontal="center" vertical="center" wrapText="1"/>
    </xf>
    <xf numFmtId="3" fontId="28" fillId="2" borderId="9" xfId="0" applyNumberFormat="1" applyFont="1" applyFill="1" applyBorder="1" applyAlignment="1">
      <alignment horizontal="center" wrapText="1"/>
    </xf>
    <xf numFmtId="164" fontId="28" fillId="2" borderId="1" xfId="0" applyNumberFormat="1" applyFont="1" applyFill="1" applyBorder="1" applyAlignment="1">
      <alignment horizontal="center" wrapText="1"/>
    </xf>
    <xf numFmtId="3" fontId="28" fillId="3" borderId="9" xfId="0" applyNumberFormat="1" applyFont="1" applyFill="1" applyBorder="1" applyAlignment="1">
      <alignment horizontal="center" wrapText="1"/>
    </xf>
    <xf numFmtId="164" fontId="28" fillId="3" borderId="1" xfId="0" applyNumberFormat="1" applyFont="1" applyFill="1" applyBorder="1" applyAlignment="1">
      <alignment horizontal="center" wrapText="1"/>
    </xf>
    <xf numFmtId="3" fontId="28" fillId="5" borderId="10" xfId="0" applyNumberFormat="1" applyFont="1" applyFill="1" applyBorder="1" applyAlignment="1">
      <alignment horizontal="center" wrapText="1"/>
    </xf>
    <xf numFmtId="164" fontId="28" fillId="5" borderId="2" xfId="0" applyNumberFormat="1" applyFont="1" applyFill="1" applyBorder="1" applyAlignment="1">
      <alignment horizontal="center" wrapText="1"/>
    </xf>
    <xf numFmtId="3" fontId="1" fillId="2" borderId="9"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66" fontId="13" fillId="0" borderId="0" xfId="0" applyNumberFormat="1" applyFont="1" applyFill="1" applyBorder="1" applyAlignment="1">
      <alignment horizontal="center" vertical="center" wrapText="1" readingOrder="1"/>
    </xf>
    <xf numFmtId="166" fontId="33" fillId="0" borderId="10" xfId="0" applyNumberFormat="1" applyFont="1" applyFill="1" applyBorder="1" applyAlignment="1">
      <alignment horizontal="center" vertical="center" wrapText="1" readingOrder="1"/>
    </xf>
    <xf numFmtId="164" fontId="33" fillId="2" borderId="2" xfId="0" applyNumberFormat="1" applyFont="1" applyFill="1" applyBorder="1" applyAlignment="1">
      <alignment horizontal="center" vertical="center" wrapText="1"/>
    </xf>
    <xf numFmtId="3" fontId="32" fillId="2" borderId="11" xfId="0" applyNumberFormat="1" applyFont="1" applyFill="1" applyBorder="1" applyAlignment="1">
      <alignment horizontal="center" wrapText="1"/>
    </xf>
    <xf numFmtId="164" fontId="32" fillId="2" borderId="12" xfId="0" applyNumberFormat="1" applyFont="1" applyFill="1" applyBorder="1" applyAlignment="1">
      <alignment horizontal="center" wrapText="1"/>
    </xf>
    <xf numFmtId="166" fontId="13" fillId="0" borderId="32" xfId="0" applyNumberFormat="1" applyFont="1" applyFill="1" applyBorder="1" applyAlignment="1">
      <alignment horizontal="center" vertical="center" wrapText="1" readingOrder="1"/>
    </xf>
    <xf numFmtId="166" fontId="32" fillId="0" borderId="9" xfId="0" applyNumberFormat="1" applyFont="1" applyFill="1" applyBorder="1" applyAlignment="1">
      <alignment horizontal="center" vertical="center" wrapText="1" readingOrder="1"/>
    </xf>
    <xf numFmtId="164" fontId="32" fillId="0" borderId="9" xfId="0" applyNumberFormat="1" applyFont="1" applyBorder="1" applyAlignment="1">
      <alignment horizontal="center" vertical="center" wrapText="1" readingOrder="1"/>
    </xf>
    <xf numFmtId="164" fontId="28" fillId="3" borderId="1" xfId="0" applyNumberFormat="1" applyFont="1" applyFill="1" applyBorder="1" applyAlignment="1">
      <alignment horizontal="center" vertical="center" wrapText="1"/>
    </xf>
    <xf numFmtId="3" fontId="32" fillId="2" borderId="11" xfId="0" applyNumberFormat="1" applyFont="1" applyFill="1" applyBorder="1" applyAlignment="1">
      <alignment horizontal="center" vertical="center" wrapText="1"/>
    </xf>
    <xf numFmtId="3" fontId="28" fillId="3" borderId="9" xfId="0" applyNumberFormat="1" applyFont="1" applyFill="1" applyBorder="1" applyAlignment="1">
      <alignment horizontal="center" vertical="center" wrapText="1"/>
    </xf>
    <xf numFmtId="3" fontId="28" fillId="5" borderId="27" xfId="0" applyNumberFormat="1" applyFont="1" applyFill="1" applyBorder="1" applyAlignment="1">
      <alignment horizontal="center" vertical="center" wrapText="1"/>
    </xf>
    <xf numFmtId="164" fontId="28" fillId="5" borderId="28" xfId="0" applyNumberFormat="1" applyFont="1" applyFill="1" applyBorder="1" applyAlignment="1">
      <alignment horizontal="center" vertical="center" wrapText="1"/>
    </xf>
    <xf numFmtId="3" fontId="28" fillId="2" borderId="14" xfId="0" applyNumberFormat="1" applyFont="1" applyFill="1" applyBorder="1" applyAlignment="1">
      <alignment horizontal="center" vertical="center" wrapText="1"/>
    </xf>
    <xf numFmtId="164" fontId="28" fillId="2" borderId="15" xfId="0" applyNumberFormat="1" applyFont="1" applyFill="1" applyBorder="1" applyAlignment="1">
      <alignment horizontal="center" vertical="center" wrapText="1"/>
    </xf>
    <xf numFmtId="3" fontId="28" fillId="2" borderId="14" xfId="0" applyNumberFormat="1" applyFont="1" applyFill="1" applyBorder="1" applyAlignment="1">
      <alignment horizontal="center" wrapText="1"/>
    </xf>
    <xf numFmtId="164" fontId="28" fillId="2" borderId="15" xfId="0" applyNumberFormat="1" applyFont="1" applyFill="1" applyBorder="1" applyAlignment="1">
      <alignment horizontal="center" wrapText="1"/>
    </xf>
    <xf numFmtId="3" fontId="28" fillId="2" borderId="3" xfId="0" applyNumberFormat="1" applyFont="1" applyFill="1" applyBorder="1" applyAlignment="1">
      <alignment horizontal="center" vertical="center" wrapText="1"/>
    </xf>
    <xf numFmtId="164" fontId="28" fillId="2" borderId="12" xfId="0" applyNumberFormat="1" applyFont="1" applyFill="1" applyBorder="1" applyAlignment="1">
      <alignment horizontal="center" vertical="center" wrapText="1"/>
    </xf>
    <xf numFmtId="3" fontId="28" fillId="2" borderId="3" xfId="0" applyNumberFormat="1" applyFont="1" applyFill="1" applyBorder="1" applyAlignment="1">
      <alignment horizontal="center" wrapText="1"/>
    </xf>
    <xf numFmtId="164" fontId="28" fillId="2" borderId="12" xfId="0" applyNumberFormat="1" applyFont="1" applyFill="1" applyBorder="1" applyAlignment="1">
      <alignment horizontal="center" wrapText="1"/>
    </xf>
    <xf numFmtId="3" fontId="32" fillId="0" borderId="9" xfId="0" applyNumberFormat="1" applyFont="1" applyFill="1" applyBorder="1" applyAlignment="1">
      <alignment horizontal="center" vertical="center" wrapText="1"/>
    </xf>
    <xf numFmtId="164" fontId="32" fillId="0" borderId="1" xfId="0" applyNumberFormat="1" applyFont="1" applyFill="1" applyBorder="1" applyAlignment="1">
      <alignment horizontal="center" vertical="center" wrapText="1"/>
    </xf>
    <xf numFmtId="164" fontId="13" fillId="0" borderId="0" xfId="0" applyNumberFormat="1" applyFont="1" applyFill="1" applyBorder="1" applyAlignment="1">
      <alignment horizontal="right" vertical="center" wrapText="1"/>
    </xf>
    <xf numFmtId="3" fontId="32" fillId="0" borderId="9" xfId="0" applyNumberFormat="1" applyFont="1" applyFill="1" applyBorder="1" applyAlignment="1">
      <alignment horizontal="center" wrapText="1"/>
    </xf>
    <xf numFmtId="164" fontId="32" fillId="0" borderId="1" xfId="0" applyNumberFormat="1" applyFont="1" applyFill="1" applyBorder="1" applyAlignment="1">
      <alignment horizontal="center" wrapText="1"/>
    </xf>
    <xf numFmtId="0" fontId="17" fillId="3" borderId="18" xfId="0" applyFont="1" applyFill="1" applyBorder="1" applyAlignment="1">
      <alignment horizontal="center" vertical="center"/>
    </xf>
    <xf numFmtId="164" fontId="16" fillId="0" borderId="35" xfId="0" applyNumberFormat="1" applyFont="1" applyBorder="1" applyAlignment="1">
      <alignment horizontal="center"/>
    </xf>
    <xf numFmtId="164" fontId="16" fillId="0" borderId="36" xfId="0" applyNumberFormat="1" applyFont="1" applyBorder="1" applyAlignment="1">
      <alignment horizontal="center"/>
    </xf>
    <xf numFmtId="49" fontId="0" fillId="0" borderId="31" xfId="0" applyNumberFormat="1" applyBorder="1"/>
    <xf numFmtId="0" fontId="16" fillId="0" borderId="4" xfId="0" applyFont="1" applyBorder="1"/>
    <xf numFmtId="1" fontId="16" fillId="0" borderId="33" xfId="0" applyNumberFormat="1" applyFont="1" applyBorder="1" applyAlignment="1">
      <alignment horizontal="center"/>
    </xf>
    <xf numFmtId="3" fontId="33" fillId="0" borderId="9" xfId="0" applyNumberFormat="1" applyFont="1" applyFill="1" applyBorder="1" applyAlignment="1">
      <alignment horizontal="center" vertical="center" wrapText="1"/>
    </xf>
    <xf numFmtId="164" fontId="33" fillId="0" borderId="1" xfId="0" applyNumberFormat="1" applyFont="1" applyFill="1" applyBorder="1" applyAlignment="1">
      <alignment horizontal="center" vertical="center" wrapText="1"/>
    </xf>
    <xf numFmtId="166" fontId="28" fillId="3" borderId="9" xfId="0" applyNumberFormat="1" applyFont="1" applyFill="1" applyBorder="1" applyAlignment="1">
      <alignment horizontal="center" vertical="center" wrapText="1" readingOrder="1"/>
    </xf>
    <xf numFmtId="49" fontId="22" fillId="0" borderId="22" xfId="0" applyNumberFormat="1" applyFont="1" applyBorder="1" applyAlignment="1">
      <alignment horizontal="right"/>
    </xf>
    <xf numFmtId="0" fontId="5" fillId="0" borderId="0" xfId="0" applyFont="1" applyAlignment="1">
      <alignment vertical="top" wrapText="1"/>
    </xf>
    <xf numFmtId="0" fontId="0" fillId="0" borderId="0" xfId="0" applyAlignment="1">
      <alignment vertical="top" wrapText="1"/>
    </xf>
    <xf numFmtId="0" fontId="24" fillId="0" borderId="4" xfId="0" applyFont="1" applyBorder="1" applyAlignment="1"/>
    <xf numFmtId="0" fontId="24" fillId="0" borderId="9" xfId="0" applyFont="1" applyBorder="1" applyAlignment="1"/>
    <xf numFmtId="0" fontId="24" fillId="0" borderId="16" xfId="0" applyFont="1" applyBorder="1" applyAlignment="1"/>
    <xf numFmtId="0" fontId="24" fillId="0" borderId="11" xfId="0" applyFont="1" applyBorder="1" applyAlignment="1"/>
    <xf numFmtId="0" fontId="29" fillId="0" borderId="0" xfId="0" applyFont="1" applyFill="1" applyBorder="1" applyAlignment="1">
      <alignment vertical="center" wrapText="1"/>
    </xf>
    <xf numFmtId="0" fontId="3" fillId="0" borderId="0" xfId="0" applyFont="1" applyFill="1" applyBorder="1" applyAlignment="1">
      <alignment wrapText="1"/>
    </xf>
    <xf numFmtId="0" fontId="24" fillId="0" borderId="4" xfId="0" applyFont="1" applyBorder="1" applyAlignment="1">
      <alignment wrapText="1"/>
    </xf>
    <xf numFmtId="0" fontId="24" fillId="0" borderId="9" xfId="0" applyFont="1" applyBorder="1" applyAlignment="1">
      <alignment wrapText="1"/>
    </xf>
    <xf numFmtId="0" fontId="6" fillId="0" borderId="0" xfId="0" applyFont="1" applyFill="1" applyAlignment="1">
      <alignment horizontal="center"/>
    </xf>
    <xf numFmtId="0" fontId="0" fillId="0" borderId="0" xfId="0" applyAlignment="1">
      <alignment horizontal="center"/>
    </xf>
    <xf numFmtId="165" fontId="6" fillId="0" borderId="0" xfId="0" applyNumberFormat="1" applyFont="1" applyFill="1" applyAlignment="1"/>
    <xf numFmtId="0" fontId="8" fillId="0" borderId="0" xfId="0" applyFont="1" applyFill="1" applyAlignment="1"/>
    <xf numFmtId="3" fontId="6" fillId="0" borderId="0" xfId="0" applyNumberFormat="1" applyFont="1" applyFill="1" applyAlignment="1"/>
    <xf numFmtId="0" fontId="5" fillId="0" borderId="0" xfId="0" applyFont="1" applyBorder="1" applyAlignment="1">
      <alignment wrapText="1"/>
    </xf>
    <xf numFmtId="0" fontId="5" fillId="0" borderId="0" xfId="0" applyFont="1" applyBorder="1" applyAlignment="1"/>
    <xf numFmtId="0" fontId="3" fillId="0" borderId="0" xfId="0" applyFont="1" applyAlignment="1"/>
    <xf numFmtId="0" fontId="5" fillId="0" borderId="20" xfId="0" applyFont="1" applyFill="1" applyBorder="1" applyAlignment="1">
      <alignment vertical="center" wrapText="1"/>
    </xf>
    <xf numFmtId="0" fontId="3" fillId="0" borderId="21" xfId="0" applyFont="1" applyFill="1" applyBorder="1" applyAlignment="1">
      <alignment vertical="center" wrapText="1"/>
    </xf>
    <xf numFmtId="0" fontId="2" fillId="3" borderId="17" xfId="0" applyFont="1" applyFill="1" applyBorder="1" applyAlignment="1"/>
    <xf numFmtId="0" fontId="2" fillId="3" borderId="5" xfId="0" applyFont="1" applyFill="1" applyBorder="1" applyAlignment="1"/>
    <xf numFmtId="14" fontId="30" fillId="0" borderId="0" xfId="0" applyNumberFormat="1" applyFont="1" applyAlignment="1">
      <alignment horizontal="left"/>
    </xf>
    <xf numFmtId="0" fontId="31" fillId="0" borderId="0" xfId="0" applyFont="1" applyAlignment="1">
      <alignment horizontal="left"/>
    </xf>
    <xf numFmtId="0" fontId="9" fillId="2" borderId="11" xfId="0" applyFont="1" applyFill="1" applyBorder="1" applyAlignment="1">
      <alignment vertical="center" wrapText="1"/>
    </xf>
    <xf numFmtId="0" fontId="10" fillId="2" borderId="11" xfId="0" applyFont="1" applyFill="1" applyBorder="1" applyAlignment="1">
      <alignment wrapText="1"/>
    </xf>
    <xf numFmtId="0" fontId="10" fillId="2" borderId="9" xfId="0" applyFont="1" applyFill="1" applyBorder="1" applyAlignment="1">
      <alignment wrapText="1"/>
    </xf>
    <xf numFmtId="0" fontId="7" fillId="0" borderId="16" xfId="0" applyFont="1" applyBorder="1" applyAlignment="1">
      <alignment horizontal="left" wrapText="1"/>
    </xf>
    <xf numFmtId="0" fontId="0" fillId="0" borderId="4" xfId="0" applyBorder="1" applyAlignment="1">
      <alignment horizontal="left" wrapText="1"/>
    </xf>
    <xf numFmtId="0" fontId="0" fillId="0" borderId="37" xfId="0" applyBorder="1" applyAlignment="1">
      <alignment wrapText="1"/>
    </xf>
    <xf numFmtId="0" fontId="7" fillId="0" borderId="34" xfId="0" applyFont="1" applyBorder="1" applyAlignment="1">
      <alignment horizontal="right" vertical="center" wrapText="1"/>
    </xf>
    <xf numFmtId="0" fontId="24" fillId="0" borderId="13" xfId="0" applyFont="1" applyBorder="1" applyAlignment="1">
      <alignment wrapText="1"/>
    </xf>
    <xf numFmtId="0" fontId="24" fillId="0" borderId="10" xfId="0" applyFont="1" applyBorder="1" applyAlignment="1">
      <alignment wrapText="1"/>
    </xf>
    <xf numFmtId="49" fontId="5" fillId="0" borderId="38" xfId="0" applyNumberFormat="1" applyFont="1" applyFill="1" applyBorder="1" applyAlignment="1">
      <alignment horizontal="left" vertical="center" wrapText="1"/>
    </xf>
    <xf numFmtId="49" fontId="5" fillId="0" borderId="22" xfId="0" applyNumberFormat="1" applyFont="1" applyFill="1" applyBorder="1" applyAlignment="1">
      <alignment horizontal="left" vertical="center" wrapText="1"/>
    </xf>
    <xf numFmtId="49" fontId="5" fillId="0" borderId="3" xfId="0" applyNumberFormat="1" applyFont="1" applyFill="1" applyBorder="1" applyAlignment="1">
      <alignment horizontal="left" vertical="center" wrapText="1"/>
    </xf>
    <xf numFmtId="0" fontId="5" fillId="0" borderId="37" xfId="0" applyFont="1" applyBorder="1" applyAlignment="1">
      <alignment vertical="center" wrapText="1"/>
    </xf>
    <xf numFmtId="0" fontId="5" fillId="0" borderId="34" xfId="0" applyFont="1" applyBorder="1" applyAlignment="1">
      <alignment vertical="center" wrapText="1"/>
    </xf>
    <xf numFmtId="0" fontId="5" fillId="0" borderId="16" xfId="0" applyFont="1" applyBorder="1" applyAlignment="1">
      <alignment vertical="center" wrapText="1"/>
    </xf>
  </cellXfs>
  <cellStyles count="3">
    <cellStyle name="Normal" xfId="0" builtinId="0"/>
    <cellStyle name="Normal 2" xfId="1"/>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tabSelected="1" view="pageBreakPreview" zoomScaleNormal="100" zoomScaleSheetLayoutView="100" workbookViewId="0">
      <selection activeCell="G28" sqref="G28:K30"/>
    </sheetView>
  </sheetViews>
  <sheetFormatPr defaultRowHeight="12.75" x14ac:dyDescent="0.2"/>
  <cols>
    <col min="1" max="1" width="22.710937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2.5703125" customWidth="1"/>
    <col min="8" max="8" width="9.85546875" style="10" customWidth="1"/>
    <col min="9" max="9" width="10.7109375" style="10" customWidth="1"/>
    <col min="10" max="10" width="7.7109375" style="8" customWidth="1"/>
    <col min="11" max="11" width="8.5703125" style="8" customWidth="1"/>
    <col min="12" max="12" width="34.85546875" style="4" customWidth="1"/>
  </cols>
  <sheetData>
    <row r="1" spans="1:12" s="2" customFormat="1" ht="18" x14ac:dyDescent="0.25">
      <c r="A1" s="2" t="s">
        <v>66</v>
      </c>
      <c r="B1" s="181" t="s">
        <v>37</v>
      </c>
      <c r="C1" s="182"/>
      <c r="D1" s="182"/>
      <c r="E1" s="6"/>
      <c r="F1" s="14"/>
      <c r="G1" s="193" t="s">
        <v>69</v>
      </c>
      <c r="H1" s="194"/>
      <c r="I1" s="194"/>
      <c r="J1" s="194"/>
      <c r="K1" s="194"/>
      <c r="L1" s="194"/>
    </row>
    <row r="2" spans="1:12" s="3" customFormat="1" ht="16.5" customHeight="1" thickBot="1" x14ac:dyDescent="0.3">
      <c r="A2" s="183" t="s">
        <v>4</v>
      </c>
      <c r="B2" s="184"/>
      <c r="C2" s="184"/>
      <c r="D2" s="69"/>
      <c r="E2" s="69"/>
      <c r="F2" s="15"/>
      <c r="G2" s="185" t="s">
        <v>5</v>
      </c>
      <c r="H2" s="184"/>
      <c r="I2" s="184"/>
      <c r="J2" s="184"/>
      <c r="K2" s="81"/>
      <c r="L2" s="82"/>
    </row>
    <row r="3" spans="1:12" s="1" customFormat="1" ht="15.75" thickBot="1" x14ac:dyDescent="0.3">
      <c r="A3" s="63" t="s">
        <v>2</v>
      </c>
      <c r="B3" s="64" t="s">
        <v>71</v>
      </c>
      <c r="C3" s="64" t="s">
        <v>72</v>
      </c>
      <c r="D3" s="68" t="s">
        <v>0</v>
      </c>
      <c r="E3" s="66" t="s">
        <v>1</v>
      </c>
      <c r="F3" s="55"/>
      <c r="G3" s="63" t="s">
        <v>2</v>
      </c>
      <c r="H3" s="64" t="s">
        <v>71</v>
      </c>
      <c r="I3" s="64" t="s">
        <v>72</v>
      </c>
      <c r="J3" s="65" t="s">
        <v>0</v>
      </c>
      <c r="K3" s="66" t="s">
        <v>1</v>
      </c>
      <c r="L3" s="22" t="s">
        <v>42</v>
      </c>
    </row>
    <row r="4" spans="1:12" ht="15" x14ac:dyDescent="0.25">
      <c r="A4" s="67" t="s">
        <v>23</v>
      </c>
      <c r="B4" s="70">
        <v>736.5</v>
      </c>
      <c r="C4" s="70">
        <v>718</v>
      </c>
      <c r="D4" s="144">
        <f t="shared" ref="D4:D25" si="0">C4-B4</f>
        <v>-18.5</v>
      </c>
      <c r="E4" s="91">
        <f>IF(B4=0,"n/a",D4/B4)</f>
        <v>-2.5118805159538356E-2</v>
      </c>
      <c r="F4" s="25"/>
      <c r="G4" s="62" t="s">
        <v>23</v>
      </c>
      <c r="H4" s="60">
        <v>147</v>
      </c>
      <c r="I4" s="60">
        <v>143</v>
      </c>
      <c r="J4" s="138">
        <f>I4-H4</f>
        <v>-4</v>
      </c>
      <c r="K4" s="139">
        <f>J4/H4</f>
        <v>-2.7210884353741496E-2</v>
      </c>
      <c r="L4" s="93" t="s">
        <v>73</v>
      </c>
    </row>
    <row r="5" spans="1:12" ht="15" x14ac:dyDescent="0.25">
      <c r="A5" s="26" t="s">
        <v>24</v>
      </c>
      <c r="B5" s="70">
        <v>811</v>
      </c>
      <c r="C5" s="70">
        <v>812</v>
      </c>
      <c r="D5" s="85">
        <f t="shared" si="0"/>
        <v>1</v>
      </c>
      <c r="E5" s="88">
        <f t="shared" ref="E5:E25" si="1">D5/B5</f>
        <v>1.2330456226880395E-3</v>
      </c>
      <c r="F5" s="25"/>
      <c r="G5" s="18" t="s">
        <v>24</v>
      </c>
      <c r="H5" s="60">
        <f>258+4</f>
        <v>262</v>
      </c>
      <c r="I5" s="60">
        <v>246</v>
      </c>
      <c r="J5" s="83">
        <f t="shared" ref="J5:J27" si="2">I5-H5</f>
        <v>-16</v>
      </c>
      <c r="K5" s="86">
        <f t="shared" ref="K5:K27" si="3">J5/H5</f>
        <v>-6.1068702290076333E-2</v>
      </c>
      <c r="L5" s="93" t="s">
        <v>74</v>
      </c>
    </row>
    <row r="6" spans="1:12" ht="15" x14ac:dyDescent="0.25">
      <c r="A6" s="26" t="s">
        <v>29</v>
      </c>
      <c r="B6" s="70">
        <f>434+1162</f>
        <v>1596</v>
      </c>
      <c r="C6" s="70">
        <f>287+867</f>
        <v>1154</v>
      </c>
      <c r="D6" s="89">
        <f t="shared" si="0"/>
        <v>-442</v>
      </c>
      <c r="E6" s="91">
        <f t="shared" si="1"/>
        <v>-0.27694235588972432</v>
      </c>
      <c r="F6" s="25"/>
      <c r="G6" s="18" t="s">
        <v>29</v>
      </c>
      <c r="H6" s="60">
        <f>271+196</f>
        <v>467</v>
      </c>
      <c r="I6" s="60">
        <f>265+145</f>
        <v>410</v>
      </c>
      <c r="J6" s="83">
        <f t="shared" si="2"/>
        <v>-57</v>
      </c>
      <c r="K6" s="86">
        <f t="shared" si="3"/>
        <v>-0.12205567451820129</v>
      </c>
      <c r="L6" s="94" t="s">
        <v>75</v>
      </c>
    </row>
    <row r="7" spans="1:12" ht="15.75" customHeight="1" x14ac:dyDescent="0.25">
      <c r="A7" s="26" t="s">
        <v>28</v>
      </c>
      <c r="B7" s="70">
        <v>598</v>
      </c>
      <c r="C7" s="70">
        <v>334</v>
      </c>
      <c r="D7" s="89">
        <f t="shared" si="0"/>
        <v>-264</v>
      </c>
      <c r="E7" s="91">
        <f t="shared" si="1"/>
        <v>-0.4414715719063545</v>
      </c>
      <c r="F7" s="25"/>
      <c r="G7" s="18" t="s">
        <v>28</v>
      </c>
      <c r="H7" s="60">
        <f>6+168</f>
        <v>174</v>
      </c>
      <c r="I7" s="60">
        <f>2+148</f>
        <v>150</v>
      </c>
      <c r="J7" s="83">
        <f t="shared" si="2"/>
        <v>-24</v>
      </c>
      <c r="K7" s="86">
        <f t="shared" si="3"/>
        <v>-0.13793103448275862</v>
      </c>
      <c r="L7" s="94" t="s">
        <v>76</v>
      </c>
    </row>
    <row r="8" spans="1:12" ht="15" x14ac:dyDescent="0.25">
      <c r="A8" s="26" t="s">
        <v>41</v>
      </c>
      <c r="B8" s="70">
        <v>354</v>
      </c>
      <c r="C8" s="70">
        <v>165</v>
      </c>
      <c r="D8" s="89">
        <f t="shared" si="0"/>
        <v>-189</v>
      </c>
      <c r="E8" s="91">
        <f t="shared" si="1"/>
        <v>-0.53389830508474578</v>
      </c>
      <c r="F8" s="25"/>
      <c r="G8" s="18" t="s">
        <v>41</v>
      </c>
      <c r="H8" s="60">
        <v>103</v>
      </c>
      <c r="I8" s="60">
        <v>82</v>
      </c>
      <c r="J8" s="83">
        <f t="shared" si="2"/>
        <v>-21</v>
      </c>
      <c r="K8" s="86">
        <f t="shared" si="3"/>
        <v>-0.20388349514563106</v>
      </c>
      <c r="L8" s="94" t="s">
        <v>77</v>
      </c>
    </row>
    <row r="9" spans="1:12" ht="15" x14ac:dyDescent="0.25">
      <c r="A9" s="26" t="s">
        <v>51</v>
      </c>
      <c r="B9" s="70">
        <v>916</v>
      </c>
      <c r="C9" s="70">
        <v>947</v>
      </c>
      <c r="D9" s="85">
        <f t="shared" si="0"/>
        <v>31</v>
      </c>
      <c r="E9" s="88">
        <f t="shared" si="1"/>
        <v>3.384279475982533E-2</v>
      </c>
      <c r="F9" s="25"/>
      <c r="G9" s="26" t="s">
        <v>51</v>
      </c>
      <c r="H9" s="60">
        <f>5+261</f>
        <v>266</v>
      </c>
      <c r="I9" s="60">
        <f>6+298</f>
        <v>304</v>
      </c>
      <c r="J9" s="84">
        <f t="shared" si="2"/>
        <v>38</v>
      </c>
      <c r="K9" s="87">
        <f t="shared" si="3"/>
        <v>0.14285714285714285</v>
      </c>
      <c r="L9" s="94" t="s">
        <v>78</v>
      </c>
    </row>
    <row r="10" spans="1:12" ht="15" x14ac:dyDescent="0.25">
      <c r="A10" s="26" t="s">
        <v>67</v>
      </c>
      <c r="B10" s="70">
        <f>541.5+3669</f>
        <v>4210.5</v>
      </c>
      <c r="C10" s="70">
        <f>268+2792.5</f>
        <v>3060.5</v>
      </c>
      <c r="D10" s="156">
        <f t="shared" si="0"/>
        <v>-1150</v>
      </c>
      <c r="E10" s="157">
        <f t="shared" si="1"/>
        <v>-0.27312670704191899</v>
      </c>
      <c r="F10" s="158"/>
      <c r="G10" s="18" t="s">
        <v>67</v>
      </c>
      <c r="H10" s="60">
        <f>81+730</f>
        <v>811</v>
      </c>
      <c r="I10" s="60">
        <f>41+602</f>
        <v>643</v>
      </c>
      <c r="J10" s="159">
        <f t="shared" si="2"/>
        <v>-168</v>
      </c>
      <c r="K10" s="160">
        <f t="shared" si="3"/>
        <v>-0.20715166461159062</v>
      </c>
      <c r="L10" s="94" t="s">
        <v>90</v>
      </c>
    </row>
    <row r="11" spans="1:12" ht="14.25" customHeight="1" x14ac:dyDescent="0.25">
      <c r="A11" s="26" t="s">
        <v>38</v>
      </c>
      <c r="B11" s="70">
        <v>241</v>
      </c>
      <c r="C11" s="70">
        <v>363</v>
      </c>
      <c r="D11" s="167">
        <f t="shared" si="0"/>
        <v>122</v>
      </c>
      <c r="E11" s="168">
        <f t="shared" si="1"/>
        <v>0.50622406639004147</v>
      </c>
      <c r="F11" s="25"/>
      <c r="G11" s="18" t="s">
        <v>38</v>
      </c>
      <c r="H11" s="60">
        <v>128</v>
      </c>
      <c r="I11" s="60">
        <v>179</v>
      </c>
      <c r="J11" s="84">
        <f t="shared" si="2"/>
        <v>51</v>
      </c>
      <c r="K11" s="87">
        <f t="shared" si="3"/>
        <v>0.3984375</v>
      </c>
      <c r="L11" s="94" t="s">
        <v>79</v>
      </c>
    </row>
    <row r="12" spans="1:12" ht="15" x14ac:dyDescent="0.25">
      <c r="A12" s="26" t="s">
        <v>52</v>
      </c>
      <c r="B12" s="70">
        <v>3373</v>
      </c>
      <c r="C12" s="70">
        <v>3445</v>
      </c>
      <c r="D12" s="167">
        <f t="shared" si="0"/>
        <v>72</v>
      </c>
      <c r="E12" s="168">
        <f t="shared" si="1"/>
        <v>2.1345982804624963E-2</v>
      </c>
      <c r="F12" s="25"/>
      <c r="G12" s="18" t="s">
        <v>52</v>
      </c>
      <c r="H12" s="60">
        <f>24+479</f>
        <v>503</v>
      </c>
      <c r="I12" s="60">
        <f>37+423</f>
        <v>460</v>
      </c>
      <c r="J12" s="83">
        <f t="shared" si="2"/>
        <v>-43</v>
      </c>
      <c r="K12" s="86">
        <f t="shared" si="3"/>
        <v>-8.5487077534791248E-2</v>
      </c>
      <c r="L12" s="94" t="s">
        <v>80</v>
      </c>
    </row>
    <row r="13" spans="1:12" ht="15" customHeight="1" x14ac:dyDescent="0.25">
      <c r="A13" s="26" t="s">
        <v>68</v>
      </c>
      <c r="B13" s="70">
        <f>12+864</f>
        <v>876</v>
      </c>
      <c r="C13" s="70">
        <f>6+840</f>
        <v>846</v>
      </c>
      <c r="D13" s="156">
        <f t="shared" si="0"/>
        <v>-30</v>
      </c>
      <c r="E13" s="157">
        <f t="shared" si="1"/>
        <v>-3.4246575342465752E-2</v>
      </c>
      <c r="F13" s="25"/>
      <c r="G13" s="18" t="s">
        <v>68</v>
      </c>
      <c r="H13" s="60">
        <f>3+23+122</f>
        <v>148</v>
      </c>
      <c r="I13" s="60">
        <f>2+20+122</f>
        <v>144</v>
      </c>
      <c r="J13" s="159">
        <f t="shared" si="2"/>
        <v>-4</v>
      </c>
      <c r="K13" s="160">
        <f t="shared" si="3"/>
        <v>-2.7027027027027029E-2</v>
      </c>
      <c r="L13" s="95" t="s">
        <v>91</v>
      </c>
    </row>
    <row r="14" spans="1:12" ht="14.25" customHeight="1" x14ac:dyDescent="0.25">
      <c r="A14" s="26" t="s">
        <v>25</v>
      </c>
      <c r="B14" s="70">
        <v>1014</v>
      </c>
      <c r="C14" s="70">
        <f>949</f>
        <v>949</v>
      </c>
      <c r="D14" s="89">
        <f t="shared" si="0"/>
        <v>-65</v>
      </c>
      <c r="E14" s="91">
        <f t="shared" si="1"/>
        <v>-6.4102564102564097E-2</v>
      </c>
      <c r="F14" s="25"/>
      <c r="G14" s="18" t="s">
        <v>25</v>
      </c>
      <c r="H14" s="60">
        <f>2+229</f>
        <v>231</v>
      </c>
      <c r="I14" s="60">
        <v>225</v>
      </c>
      <c r="J14" s="83">
        <f t="shared" si="2"/>
        <v>-6</v>
      </c>
      <c r="K14" s="86">
        <f t="shared" si="3"/>
        <v>-2.5974025974025976E-2</v>
      </c>
      <c r="L14" s="95" t="s">
        <v>81</v>
      </c>
    </row>
    <row r="15" spans="1:12" ht="15" x14ac:dyDescent="0.25">
      <c r="A15" s="26" t="s">
        <v>45</v>
      </c>
      <c r="B15" s="70">
        <v>81</v>
      </c>
      <c r="C15" s="70">
        <v>129</v>
      </c>
      <c r="D15" s="85">
        <f t="shared" si="0"/>
        <v>48</v>
      </c>
      <c r="E15" s="88">
        <f t="shared" si="1"/>
        <v>0.59259259259259256</v>
      </c>
      <c r="F15" s="25"/>
      <c r="G15" s="27" t="s">
        <v>45</v>
      </c>
      <c r="H15" s="60">
        <f>3+13</f>
        <v>16</v>
      </c>
      <c r="I15" s="60">
        <f>17+22</f>
        <v>39</v>
      </c>
      <c r="J15" s="84">
        <f t="shared" si="2"/>
        <v>23</v>
      </c>
      <c r="K15" s="87">
        <f t="shared" si="3"/>
        <v>1.4375</v>
      </c>
      <c r="L15" s="94" t="s">
        <v>82</v>
      </c>
    </row>
    <row r="16" spans="1:12" ht="16.5" customHeight="1" x14ac:dyDescent="0.25">
      <c r="A16" s="26" t="s">
        <v>22</v>
      </c>
      <c r="B16" s="70">
        <v>1924</v>
      </c>
      <c r="C16" s="70">
        <v>1898</v>
      </c>
      <c r="D16" s="89">
        <f t="shared" si="0"/>
        <v>-26</v>
      </c>
      <c r="E16" s="91">
        <f t="shared" si="1"/>
        <v>-1.3513513513513514E-2</v>
      </c>
      <c r="F16" s="25"/>
      <c r="G16" s="18" t="s">
        <v>22</v>
      </c>
      <c r="H16" s="60">
        <f>6+260</f>
        <v>266</v>
      </c>
      <c r="I16" s="60">
        <f>226+7</f>
        <v>233</v>
      </c>
      <c r="J16" s="83">
        <f t="shared" si="2"/>
        <v>-33</v>
      </c>
      <c r="K16" s="86">
        <f t="shared" si="3"/>
        <v>-0.12406015037593984</v>
      </c>
      <c r="L16" s="94" t="s">
        <v>83</v>
      </c>
    </row>
    <row r="17" spans="1:12" ht="15" x14ac:dyDescent="0.25">
      <c r="A17" s="26" t="s">
        <v>3</v>
      </c>
      <c r="B17" s="70">
        <v>724</v>
      </c>
      <c r="C17" s="70">
        <v>985</v>
      </c>
      <c r="D17" s="85">
        <f t="shared" si="0"/>
        <v>261</v>
      </c>
      <c r="E17" s="88">
        <f t="shared" si="1"/>
        <v>0.36049723756906077</v>
      </c>
      <c r="F17" s="25"/>
      <c r="G17" s="18" t="s">
        <v>3</v>
      </c>
      <c r="H17" s="60">
        <v>236</v>
      </c>
      <c r="I17" s="60">
        <v>270</v>
      </c>
      <c r="J17" s="84">
        <f t="shared" si="2"/>
        <v>34</v>
      </c>
      <c r="K17" s="87">
        <f t="shared" si="3"/>
        <v>0.1440677966101695</v>
      </c>
      <c r="L17" s="94" t="s">
        <v>84</v>
      </c>
    </row>
    <row r="18" spans="1:12" ht="15" x14ac:dyDescent="0.25">
      <c r="A18" s="18" t="s">
        <v>43</v>
      </c>
      <c r="B18" s="70">
        <v>301</v>
      </c>
      <c r="C18" s="70">
        <v>186</v>
      </c>
      <c r="D18" s="89">
        <f t="shared" si="0"/>
        <v>-115</v>
      </c>
      <c r="E18" s="91">
        <f t="shared" si="1"/>
        <v>-0.38205980066445183</v>
      </c>
      <c r="F18" s="25"/>
      <c r="G18" s="18" t="s">
        <v>43</v>
      </c>
      <c r="H18" s="60">
        <f>85+16</f>
        <v>101</v>
      </c>
      <c r="I18" s="60">
        <f>9+60</f>
        <v>69</v>
      </c>
      <c r="J18" s="83">
        <f t="shared" si="2"/>
        <v>-32</v>
      </c>
      <c r="K18" s="86">
        <f t="shared" si="3"/>
        <v>-0.31683168316831684</v>
      </c>
      <c r="L18" s="94" t="s">
        <v>85</v>
      </c>
    </row>
    <row r="19" spans="1:12" ht="15.75" customHeight="1" x14ac:dyDescent="0.25">
      <c r="A19" s="26" t="s">
        <v>26</v>
      </c>
      <c r="B19" s="70">
        <v>5490</v>
      </c>
      <c r="C19" s="70">
        <v>5204</v>
      </c>
      <c r="D19" s="89">
        <f t="shared" si="0"/>
        <v>-286</v>
      </c>
      <c r="E19" s="91">
        <f t="shared" si="1"/>
        <v>-5.2094717668488159E-2</v>
      </c>
      <c r="F19" s="25"/>
      <c r="G19" s="18" t="s">
        <v>26</v>
      </c>
      <c r="H19" s="60">
        <f>43+32+565</f>
        <v>640</v>
      </c>
      <c r="I19" s="60">
        <f>508+22+60</f>
        <v>590</v>
      </c>
      <c r="J19" s="83">
        <f t="shared" si="2"/>
        <v>-50</v>
      </c>
      <c r="K19" s="86">
        <f t="shared" si="3"/>
        <v>-7.8125E-2</v>
      </c>
      <c r="L19" s="94" t="s">
        <v>86</v>
      </c>
    </row>
    <row r="20" spans="1:12" ht="15" x14ac:dyDescent="0.25">
      <c r="A20" s="26" t="s">
        <v>46</v>
      </c>
      <c r="B20" s="70">
        <f>1060+61</f>
        <v>1121</v>
      </c>
      <c r="C20" s="70">
        <f>1228+63</f>
        <v>1291</v>
      </c>
      <c r="D20" s="85">
        <f t="shared" si="0"/>
        <v>170</v>
      </c>
      <c r="E20" s="88">
        <f t="shared" si="1"/>
        <v>0.15165031222123104</v>
      </c>
      <c r="F20" s="25"/>
      <c r="G20" s="18" t="s">
        <v>46</v>
      </c>
      <c r="H20" s="60">
        <f>12+6+241</f>
        <v>259</v>
      </c>
      <c r="I20" s="60">
        <f>8+6+282</f>
        <v>296</v>
      </c>
      <c r="J20" s="84">
        <f t="shared" si="2"/>
        <v>37</v>
      </c>
      <c r="K20" s="87">
        <f t="shared" si="3"/>
        <v>0.14285714285714285</v>
      </c>
      <c r="L20" s="94" t="s">
        <v>87</v>
      </c>
    </row>
    <row r="21" spans="1:12" ht="15" customHeight="1" x14ac:dyDescent="0.25">
      <c r="A21" s="26" t="s">
        <v>49</v>
      </c>
      <c r="B21" s="70">
        <v>0</v>
      </c>
      <c r="C21" s="70">
        <v>0</v>
      </c>
      <c r="D21" s="133">
        <f>C21-B21</f>
        <v>0</v>
      </c>
      <c r="E21" s="134" t="str">
        <f>IF(B21=0,"n/a",D21/B21)</f>
        <v>n/a</v>
      </c>
      <c r="F21" s="25"/>
      <c r="G21" s="18" t="s">
        <v>54</v>
      </c>
      <c r="H21" s="60">
        <v>0</v>
      </c>
      <c r="I21" s="60">
        <v>0</v>
      </c>
      <c r="J21" s="133">
        <f>I21-H21</f>
        <v>0</v>
      </c>
      <c r="K21" s="134" t="str">
        <f>IF(H21=0,"n/a",J21/H21)</f>
        <v>n/a</v>
      </c>
      <c r="L21" s="96" t="s">
        <v>88</v>
      </c>
    </row>
    <row r="22" spans="1:12" ht="15" customHeight="1" x14ac:dyDescent="0.25">
      <c r="A22" s="26" t="s">
        <v>7</v>
      </c>
      <c r="B22" s="70">
        <v>0</v>
      </c>
      <c r="C22" s="70">
        <v>0</v>
      </c>
      <c r="D22" s="112">
        <f t="shared" si="0"/>
        <v>0</v>
      </c>
      <c r="E22" s="113" t="str">
        <f>IF(B21=0,"n/a",D21/B21)</f>
        <v>n/a</v>
      </c>
      <c r="F22" s="28"/>
      <c r="G22" s="18" t="s">
        <v>27</v>
      </c>
      <c r="H22" s="60">
        <v>1277</v>
      </c>
      <c r="I22" s="60">
        <v>1160</v>
      </c>
      <c r="J22" s="83">
        <f t="shared" si="2"/>
        <v>-117</v>
      </c>
      <c r="K22" s="86">
        <f t="shared" si="3"/>
        <v>-9.1620986687548936E-2</v>
      </c>
      <c r="L22" s="97" t="s">
        <v>89</v>
      </c>
    </row>
    <row r="23" spans="1:12" ht="15" customHeight="1" x14ac:dyDescent="0.25">
      <c r="A23" s="44" t="s">
        <v>27</v>
      </c>
      <c r="B23" s="70">
        <v>0</v>
      </c>
      <c r="C23" s="70">
        <v>0</v>
      </c>
      <c r="D23" s="112">
        <f t="shared" ref="D23" si="4">C23-B23</f>
        <v>0</v>
      </c>
      <c r="E23" s="113" t="str">
        <f>IF(B22=0,"n/a",D22/B22)</f>
        <v>n/a</v>
      </c>
      <c r="F23" s="28"/>
      <c r="G23" s="18"/>
      <c r="H23" s="140"/>
      <c r="I23" s="135"/>
      <c r="J23" s="83"/>
      <c r="K23" s="86"/>
      <c r="L23" s="97"/>
    </row>
    <row r="24" spans="1:12" ht="17.25" customHeight="1" x14ac:dyDescent="0.25">
      <c r="A24" s="165" t="s">
        <v>65</v>
      </c>
      <c r="B24" s="166">
        <v>0</v>
      </c>
      <c r="C24" s="166">
        <v>3</v>
      </c>
      <c r="D24" s="85">
        <f t="shared" ref="D24" si="5">C24-B24</f>
        <v>3</v>
      </c>
      <c r="E24" s="88" t="str">
        <f t="shared" ref="E24" si="6">IF(B24=0,"n/a",D24/B24)</f>
        <v>n/a</v>
      </c>
      <c r="F24" s="29"/>
      <c r="G24" s="18"/>
      <c r="H24" s="39"/>
      <c r="I24" s="79"/>
      <c r="J24" s="37"/>
      <c r="K24" s="40"/>
      <c r="L24" s="80"/>
    </row>
    <row r="25" spans="1:12" ht="14.25" customHeight="1" x14ac:dyDescent="0.25">
      <c r="A25" s="45" t="s">
        <v>36</v>
      </c>
      <c r="B25" s="71">
        <f>SUM(B4:B24)</f>
        <v>24367</v>
      </c>
      <c r="C25" s="71">
        <f>SUM(C4:C24)</f>
        <v>22489.5</v>
      </c>
      <c r="D25" s="145">
        <f t="shared" si="0"/>
        <v>-1877.5</v>
      </c>
      <c r="E25" s="143">
        <f t="shared" si="1"/>
        <v>-7.7050929535847662E-2</v>
      </c>
      <c r="F25" s="28"/>
      <c r="G25" s="41" t="s">
        <v>55</v>
      </c>
      <c r="H25" s="59">
        <f>SUM(H4:H24)</f>
        <v>6035</v>
      </c>
      <c r="I25" s="59">
        <f>SUM(I4:I24)</f>
        <v>5643</v>
      </c>
      <c r="J25" s="129">
        <f t="shared" si="2"/>
        <v>-392</v>
      </c>
      <c r="K25" s="130">
        <f t="shared" si="3"/>
        <v>-6.4954432477216245E-2</v>
      </c>
      <c r="L25" s="21"/>
    </row>
    <row r="26" spans="1:12" ht="15" x14ac:dyDescent="0.25">
      <c r="A26" s="42" t="s">
        <v>17</v>
      </c>
      <c r="B26" s="54">
        <v>1308</v>
      </c>
      <c r="C26" s="54">
        <f>1289-3</f>
        <v>1286</v>
      </c>
      <c r="D26" s="125">
        <f t="shared" ref="D26:D27" si="7">C26-B26</f>
        <v>-22</v>
      </c>
      <c r="E26" s="126">
        <f t="shared" ref="E26:E27" si="8">D26/B26</f>
        <v>-1.6819571865443424E-2</v>
      </c>
      <c r="F26" s="28"/>
      <c r="G26" s="42" t="s">
        <v>17</v>
      </c>
      <c r="H26" s="73">
        <v>351</v>
      </c>
      <c r="I26" s="73">
        <v>331</v>
      </c>
      <c r="J26" s="127">
        <f>I26-H26</f>
        <v>-20</v>
      </c>
      <c r="K26" s="128">
        <f>J26/H26</f>
        <v>-5.6980056980056981E-2</v>
      </c>
      <c r="L26" s="38"/>
    </row>
    <row r="27" spans="1:12" ht="18" customHeight="1" thickBot="1" x14ac:dyDescent="0.3">
      <c r="A27" s="121" t="s">
        <v>50</v>
      </c>
      <c r="B27" s="122">
        <f>SUM(B25:B26)</f>
        <v>25675</v>
      </c>
      <c r="C27" s="122">
        <f>SUM(C25:C26)</f>
        <v>23775.5</v>
      </c>
      <c r="D27" s="146">
        <f t="shared" si="7"/>
        <v>-1899.5</v>
      </c>
      <c r="E27" s="147">
        <f t="shared" si="8"/>
        <v>-7.3982473222979558E-2</v>
      </c>
      <c r="F27" s="30"/>
      <c r="G27" s="43" t="s">
        <v>50</v>
      </c>
      <c r="H27" s="72">
        <f>SUM(H25:H26)</f>
        <v>6386</v>
      </c>
      <c r="I27" s="72">
        <f>SUM(I25:I26)-1</f>
        <v>5973</v>
      </c>
      <c r="J27" s="131">
        <f t="shared" si="2"/>
        <v>-413</v>
      </c>
      <c r="K27" s="132">
        <f t="shared" si="3"/>
        <v>-6.4672721578452871E-2</v>
      </c>
      <c r="L27" s="189" t="s">
        <v>56</v>
      </c>
    </row>
    <row r="28" spans="1:12" ht="14.25" customHeight="1" thickTop="1" x14ac:dyDescent="0.2">
      <c r="A28" s="177"/>
      <c r="B28" s="178"/>
      <c r="C28" s="178"/>
      <c r="D28" s="178"/>
      <c r="E28" s="178"/>
      <c r="F28" s="31"/>
      <c r="G28" s="195"/>
      <c r="H28" s="196"/>
      <c r="I28" s="196"/>
      <c r="J28" s="196"/>
      <c r="K28" s="196"/>
      <c r="L28" s="190"/>
    </row>
    <row r="29" spans="1:12" s="13" customFormat="1" ht="13.5" customHeight="1" x14ac:dyDescent="0.2">
      <c r="A29" s="186" t="s">
        <v>12</v>
      </c>
      <c r="B29" s="187"/>
      <c r="C29" s="187"/>
      <c r="D29" s="187"/>
      <c r="E29" s="187"/>
      <c r="F29" s="17"/>
      <c r="G29" s="197"/>
      <c r="H29" s="197"/>
      <c r="I29" s="197"/>
      <c r="J29" s="197"/>
      <c r="K29" s="197"/>
      <c r="L29" s="190"/>
    </row>
    <row r="30" spans="1:12" ht="10.5" customHeight="1" thickBot="1" x14ac:dyDescent="0.25">
      <c r="A30" s="186"/>
      <c r="B30" s="188"/>
      <c r="C30" s="188"/>
      <c r="D30" s="188"/>
      <c r="E30" s="188"/>
      <c r="F30" s="17"/>
      <c r="G30" s="197"/>
      <c r="H30" s="197"/>
      <c r="I30" s="197"/>
      <c r="J30" s="197"/>
      <c r="K30" s="197"/>
      <c r="L30" s="190"/>
    </row>
    <row r="31" spans="1:12" s="13" customFormat="1" ht="13.5" customHeight="1" thickBot="1" x14ac:dyDescent="0.25">
      <c r="A31" s="92" t="s">
        <v>47</v>
      </c>
      <c r="B31" s="19">
        <v>2017</v>
      </c>
      <c r="C31" s="19">
        <v>2018</v>
      </c>
      <c r="D31" s="116" t="s">
        <v>0</v>
      </c>
      <c r="E31" s="117" t="s">
        <v>1</v>
      </c>
      <c r="F31" s="31"/>
      <c r="G31" s="75" t="s">
        <v>40</v>
      </c>
      <c r="H31" s="19">
        <v>2017</v>
      </c>
      <c r="I31" s="19">
        <v>2018</v>
      </c>
      <c r="J31" s="19" t="s">
        <v>0</v>
      </c>
      <c r="K31" s="20" t="s">
        <v>1</v>
      </c>
      <c r="L31" s="204" t="s">
        <v>92</v>
      </c>
    </row>
    <row r="32" spans="1:12" ht="17.25" customHeight="1" x14ac:dyDescent="0.25">
      <c r="A32" s="100" t="s">
        <v>31</v>
      </c>
      <c r="B32" s="114">
        <f>49+211+1</f>
        <v>261</v>
      </c>
      <c r="C32" s="74">
        <f>34+2+212</f>
        <v>248</v>
      </c>
      <c r="D32" s="141">
        <f>C32-B32</f>
        <v>-13</v>
      </c>
      <c r="E32" s="142">
        <f>D32/B32</f>
        <v>-4.9808429118773943E-2</v>
      </c>
      <c r="F32" s="32"/>
      <c r="G32" s="56" t="s">
        <v>10</v>
      </c>
      <c r="H32" s="102">
        <v>3504</v>
      </c>
      <c r="I32" s="102">
        <v>3161</v>
      </c>
      <c r="J32" s="89">
        <f>I32-H32</f>
        <v>-343</v>
      </c>
      <c r="K32" s="90">
        <f>J32/H32</f>
        <v>-9.7888127853881277E-2</v>
      </c>
      <c r="L32" s="205"/>
    </row>
    <row r="33" spans="1:12" s="3" customFormat="1" ht="16.5" customHeight="1" x14ac:dyDescent="0.25">
      <c r="A33" s="101" t="s">
        <v>6</v>
      </c>
      <c r="B33" s="114">
        <f>16+616</f>
        <v>632</v>
      </c>
      <c r="C33" s="74">
        <f>13+582</f>
        <v>595</v>
      </c>
      <c r="D33" s="141">
        <f t="shared" ref="D33:D35" si="9">C33-B33</f>
        <v>-37</v>
      </c>
      <c r="E33" s="142">
        <f t="shared" ref="E33:E35" si="10">D33/B33</f>
        <v>-5.8544303797468354E-2</v>
      </c>
      <c r="F33" s="32"/>
      <c r="G33" s="26" t="s">
        <v>11</v>
      </c>
      <c r="H33" s="103">
        <v>14384</v>
      </c>
      <c r="I33" s="103">
        <v>13147</v>
      </c>
      <c r="J33" s="89">
        <f>I33-H33</f>
        <v>-1237</v>
      </c>
      <c r="K33" s="90">
        <f>J33/H33</f>
        <v>-8.5998331479421583E-2</v>
      </c>
      <c r="L33" s="205"/>
    </row>
    <row r="34" spans="1:12" ht="15" customHeight="1" x14ac:dyDescent="0.25">
      <c r="A34" s="101" t="s">
        <v>32</v>
      </c>
      <c r="B34" s="114">
        <v>915</v>
      </c>
      <c r="C34" s="74">
        <v>845</v>
      </c>
      <c r="D34" s="119">
        <f t="shared" si="9"/>
        <v>-70</v>
      </c>
      <c r="E34" s="120">
        <f t="shared" si="10"/>
        <v>-7.650273224043716E-2</v>
      </c>
      <c r="F34" s="32"/>
      <c r="G34" s="57" t="s">
        <v>13</v>
      </c>
      <c r="H34" s="104">
        <f>35+5296+3</f>
        <v>5334</v>
      </c>
      <c r="I34" s="104">
        <f>18+4965+3</f>
        <v>4986</v>
      </c>
      <c r="J34" s="152">
        <f>I34-H34</f>
        <v>-348</v>
      </c>
      <c r="K34" s="153">
        <f>J34/H34</f>
        <v>-6.5241844769403826E-2</v>
      </c>
      <c r="L34" s="205"/>
    </row>
    <row r="35" spans="1:12" ht="15.75" customHeight="1" thickBot="1" x14ac:dyDescent="0.3">
      <c r="A35" s="101" t="s">
        <v>33</v>
      </c>
      <c r="B35" s="114">
        <v>1971</v>
      </c>
      <c r="C35" s="74">
        <v>1757</v>
      </c>
      <c r="D35" s="119">
        <f t="shared" si="9"/>
        <v>-214</v>
      </c>
      <c r="E35" s="120">
        <f t="shared" si="10"/>
        <v>-0.10857432775240994</v>
      </c>
      <c r="F35" s="32"/>
      <c r="G35" s="58" t="s">
        <v>14</v>
      </c>
      <c r="H35" s="105">
        <f>231+21177</f>
        <v>21408</v>
      </c>
      <c r="I35" s="105">
        <f>111+19761</f>
        <v>19872</v>
      </c>
      <c r="J35" s="148">
        <f>I35-H35</f>
        <v>-1536</v>
      </c>
      <c r="K35" s="149">
        <f>J35/H35</f>
        <v>-7.1748878923766815E-2</v>
      </c>
      <c r="L35" s="205"/>
    </row>
    <row r="36" spans="1:12" ht="15.75" customHeight="1" thickBot="1" x14ac:dyDescent="0.3">
      <c r="A36" s="52" t="s">
        <v>39</v>
      </c>
      <c r="B36" s="59">
        <f>SUM(B32:B35)</f>
        <v>3779</v>
      </c>
      <c r="C36" s="59">
        <f>SUM(C32:C35)</f>
        <v>3445</v>
      </c>
      <c r="D36" s="118">
        <f t="shared" ref="D36:D40" si="11">C36-B36</f>
        <v>-334</v>
      </c>
      <c r="E36" s="115">
        <f t="shared" ref="E36:E38" si="12">D36/B36</f>
        <v>-8.8383170150833551E-2</v>
      </c>
      <c r="F36" s="32"/>
      <c r="G36" s="50"/>
      <c r="H36" s="106"/>
      <c r="I36" s="111"/>
      <c r="J36" s="46"/>
      <c r="K36" s="46"/>
      <c r="L36" s="205"/>
    </row>
    <row r="37" spans="1:12" ht="16.5" customHeight="1" thickBot="1" x14ac:dyDescent="0.3">
      <c r="A37" s="51" t="s">
        <v>35</v>
      </c>
      <c r="B37" s="60">
        <f>14+597</f>
        <v>611</v>
      </c>
      <c r="C37" s="60">
        <f>6+515</f>
        <v>521</v>
      </c>
      <c r="D37" s="141">
        <f t="shared" si="11"/>
        <v>-90</v>
      </c>
      <c r="E37" s="91">
        <f t="shared" si="12"/>
        <v>-0.14729950900163666</v>
      </c>
      <c r="F37" s="32"/>
      <c r="G37" s="76" t="s">
        <v>9</v>
      </c>
      <c r="H37" s="19">
        <v>2017</v>
      </c>
      <c r="I37" s="19">
        <v>2018</v>
      </c>
      <c r="J37" s="77" t="s">
        <v>0</v>
      </c>
      <c r="K37" s="78" t="s">
        <v>1</v>
      </c>
      <c r="L37" s="206"/>
    </row>
    <row r="38" spans="1:12" ht="15" customHeight="1" x14ac:dyDescent="0.25">
      <c r="A38" s="52" t="s">
        <v>7</v>
      </c>
      <c r="B38" s="59">
        <f>84+1250+2</f>
        <v>1336</v>
      </c>
      <c r="C38" s="59">
        <f>43+1208+3</f>
        <v>1254</v>
      </c>
      <c r="D38" s="169">
        <f t="shared" si="11"/>
        <v>-82</v>
      </c>
      <c r="E38" s="143">
        <f t="shared" si="12"/>
        <v>-6.1377245508982034E-2</v>
      </c>
      <c r="F38" s="32"/>
      <c r="G38" s="47" t="s">
        <v>10</v>
      </c>
      <c r="H38" s="107">
        <v>274</v>
      </c>
      <c r="I38" s="107">
        <v>284</v>
      </c>
      <c r="J38" s="98">
        <f>I38-H38</f>
        <v>10</v>
      </c>
      <c r="K38" s="99">
        <f>J38/H38</f>
        <v>3.6496350364963501E-2</v>
      </c>
      <c r="L38" s="207" t="s">
        <v>93</v>
      </c>
    </row>
    <row r="39" spans="1:12" ht="14.25" customHeight="1" x14ac:dyDescent="0.25">
      <c r="A39" s="52" t="s">
        <v>8</v>
      </c>
      <c r="B39" s="59">
        <v>252</v>
      </c>
      <c r="C39" s="59">
        <v>308</v>
      </c>
      <c r="D39" s="123">
        <f t="shared" si="11"/>
        <v>56</v>
      </c>
      <c r="E39" s="124">
        <f>D39/B39</f>
        <v>0.22222222222222221</v>
      </c>
      <c r="F39" s="17"/>
      <c r="G39" s="18" t="s">
        <v>11</v>
      </c>
      <c r="H39" s="108">
        <v>1177</v>
      </c>
      <c r="I39" s="108">
        <f>1226</f>
        <v>1226</v>
      </c>
      <c r="J39" s="98">
        <f>I39-H39</f>
        <v>49</v>
      </c>
      <c r="K39" s="99">
        <f>J39/H39</f>
        <v>4.1631265930331354E-2</v>
      </c>
      <c r="L39" s="208"/>
    </row>
    <row r="40" spans="1:12" ht="16.5" customHeight="1" thickBot="1" x14ac:dyDescent="0.3">
      <c r="A40" s="53" t="s">
        <v>34</v>
      </c>
      <c r="B40" s="61">
        <v>57</v>
      </c>
      <c r="C40" s="61">
        <f>115</f>
        <v>115</v>
      </c>
      <c r="D40" s="136">
        <f t="shared" si="11"/>
        <v>58</v>
      </c>
      <c r="E40" s="137">
        <f>D40/B40</f>
        <v>1.0175438596491229</v>
      </c>
      <c r="F40" s="17"/>
      <c r="G40" s="48" t="s">
        <v>15</v>
      </c>
      <c r="H40" s="109">
        <f>49+652</f>
        <v>701</v>
      </c>
      <c r="I40" s="109">
        <f>25+632</f>
        <v>657</v>
      </c>
      <c r="J40" s="154">
        <f>I40-H40</f>
        <v>-44</v>
      </c>
      <c r="K40" s="155">
        <f>J40/H40</f>
        <v>-6.2767475035663337E-2</v>
      </c>
      <c r="L40" s="208"/>
    </row>
    <row r="41" spans="1:12" ht="15.75" customHeight="1" thickBot="1" x14ac:dyDescent="0.3">
      <c r="A41" s="171" t="s">
        <v>53</v>
      </c>
      <c r="B41" s="172"/>
      <c r="C41" s="172"/>
      <c r="D41" s="172"/>
      <c r="E41" s="172"/>
      <c r="F41" s="17"/>
      <c r="G41" s="49" t="s">
        <v>16</v>
      </c>
      <c r="H41" s="110">
        <f>322.5+2636.5</f>
        <v>2959</v>
      </c>
      <c r="I41" s="110">
        <f>163+2454.5</f>
        <v>2617.5</v>
      </c>
      <c r="J41" s="150">
        <f>I41-H41</f>
        <v>-341.5</v>
      </c>
      <c r="K41" s="151">
        <f>J41/H41</f>
        <v>-0.11541061169313957</v>
      </c>
      <c r="L41" s="209"/>
    </row>
    <row r="42" spans="1:12" ht="12" customHeight="1" thickBot="1" x14ac:dyDescent="0.25">
      <c r="A42" s="172"/>
      <c r="B42" s="172"/>
      <c r="C42" s="172"/>
      <c r="D42" s="172"/>
      <c r="E42" s="172"/>
      <c r="F42" s="17"/>
      <c r="G42" s="5"/>
      <c r="H42" s="9"/>
      <c r="I42" s="9"/>
      <c r="L42" s="164"/>
    </row>
    <row r="43" spans="1:12" ht="13.5" customHeight="1" thickBot="1" x14ac:dyDescent="0.25">
      <c r="A43" s="172"/>
      <c r="B43" s="172"/>
      <c r="C43" s="172"/>
      <c r="D43" s="172"/>
      <c r="E43" s="172"/>
      <c r="F43" s="17"/>
      <c r="G43" s="191" t="s">
        <v>30</v>
      </c>
      <c r="H43" s="192"/>
      <c r="I43" s="192"/>
      <c r="J43" s="19">
        <v>2016</v>
      </c>
      <c r="K43" s="161">
        <v>2017</v>
      </c>
      <c r="L43" s="198"/>
    </row>
    <row r="44" spans="1:12" ht="12.75" customHeight="1" x14ac:dyDescent="0.25">
      <c r="A44" s="172"/>
      <c r="B44" s="172"/>
      <c r="C44" s="172"/>
      <c r="D44" s="172"/>
      <c r="E44" s="172"/>
      <c r="F44" s="33"/>
      <c r="G44" s="175" t="s">
        <v>21</v>
      </c>
      <c r="H44" s="176"/>
      <c r="I44" s="176"/>
      <c r="J44" s="36">
        <f>H38/H25</f>
        <v>4.5401822700911351E-2</v>
      </c>
      <c r="K44" s="162">
        <f>I38/I25</f>
        <v>5.0327839801524013E-2</v>
      </c>
      <c r="L44" s="199"/>
    </row>
    <row r="45" spans="1:12" ht="12.75" customHeight="1" x14ac:dyDescent="0.25">
      <c r="A45" s="172"/>
      <c r="B45" s="172"/>
      <c r="C45" s="172"/>
      <c r="D45" s="172"/>
      <c r="E45" s="172"/>
      <c r="F45" s="33"/>
      <c r="G45" s="173" t="s">
        <v>18</v>
      </c>
      <c r="H45" s="174"/>
      <c r="I45" s="174"/>
      <c r="J45" s="23">
        <f>H39/B25</f>
        <v>4.8303032790249105E-2</v>
      </c>
      <c r="K45" s="163">
        <f>I39/C25</f>
        <v>5.4514328909046443E-2</v>
      </c>
      <c r="L45" s="200"/>
    </row>
    <row r="46" spans="1:12" ht="12" customHeight="1" x14ac:dyDescent="0.25">
      <c r="A46" s="172"/>
      <c r="B46" s="172"/>
      <c r="C46" s="172"/>
      <c r="D46" s="172"/>
      <c r="E46" s="172"/>
      <c r="F46" s="34"/>
      <c r="G46" s="179" t="s">
        <v>19</v>
      </c>
      <c r="H46" s="180"/>
      <c r="I46" s="180"/>
      <c r="J46" s="23">
        <f>H40/H25</f>
        <v>0.11615575807787903</v>
      </c>
      <c r="K46" s="11">
        <f>I40/I25</f>
        <v>0.11642743221690591</v>
      </c>
      <c r="L46" s="201" t="s">
        <v>48</v>
      </c>
    </row>
    <row r="47" spans="1:12" ht="3.75" hidden="1" customHeight="1" x14ac:dyDescent="0.25">
      <c r="A47" s="172"/>
      <c r="B47" s="172"/>
      <c r="C47" s="172"/>
      <c r="D47" s="172"/>
      <c r="E47" s="172"/>
      <c r="F47" s="34"/>
      <c r="G47" s="179" t="s">
        <v>20</v>
      </c>
      <c r="H47" s="180"/>
      <c r="I47" s="180"/>
      <c r="J47" s="23">
        <f>H41/B25</f>
        <v>0.12143472729511225</v>
      </c>
      <c r="K47" s="11">
        <f>I41/C25</f>
        <v>0.11638764756886547</v>
      </c>
      <c r="L47" s="201"/>
    </row>
    <row r="48" spans="1:12" ht="15" customHeight="1" thickBot="1" x14ac:dyDescent="0.3">
      <c r="A48" s="35" t="s">
        <v>44</v>
      </c>
      <c r="F48" s="17"/>
      <c r="G48" s="202" t="s">
        <v>20</v>
      </c>
      <c r="H48" s="203"/>
      <c r="I48" s="203"/>
      <c r="J48" s="24">
        <f>H41/B25</f>
        <v>0.12143472729511225</v>
      </c>
      <c r="K48" s="12">
        <f>I41/C25</f>
        <v>0.11638764756886547</v>
      </c>
      <c r="L48" s="201"/>
    </row>
    <row r="49" spans="12:12" x14ac:dyDescent="0.2">
      <c r="L49" s="170" t="s">
        <v>70</v>
      </c>
    </row>
  </sheetData>
  <mergeCells count="20">
    <mergeCell ref="L27:L30"/>
    <mergeCell ref="G43:I43"/>
    <mergeCell ref="G1:L1"/>
    <mergeCell ref="G46:I46"/>
    <mergeCell ref="G28:K30"/>
    <mergeCell ref="L43:L45"/>
    <mergeCell ref="L46:L48"/>
    <mergeCell ref="G48:I48"/>
    <mergeCell ref="L31:L37"/>
    <mergeCell ref="L38:L41"/>
    <mergeCell ref="B1:D1"/>
    <mergeCell ref="A2:C2"/>
    <mergeCell ref="G2:J2"/>
    <mergeCell ref="A29:E29"/>
    <mergeCell ref="A30:E30"/>
    <mergeCell ref="A41:E47"/>
    <mergeCell ref="G45:I45"/>
    <mergeCell ref="G44:I44"/>
    <mergeCell ref="A28:E28"/>
    <mergeCell ref="G47:I47"/>
  </mergeCells>
  <phoneticPr fontId="5" type="noConversion"/>
  <pageMargins left="0.5" right="0.5" top="0.4" bottom="0.35" header="0.5" footer="0.5"/>
  <pageSetup scale="7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F6" sqref="F6"/>
    </sheetView>
  </sheetViews>
  <sheetFormatPr defaultRowHeight="12.75" x14ac:dyDescent="0.2"/>
  <cols>
    <col min="1" max="1" width="18.5703125" customWidth="1"/>
  </cols>
  <sheetData>
    <row r="2" spans="1:6" x14ac:dyDescent="0.2">
      <c r="B2" t="s">
        <v>57</v>
      </c>
      <c r="C2" t="s">
        <v>58</v>
      </c>
      <c r="E2" t="s">
        <v>59</v>
      </c>
      <c r="F2" t="s">
        <v>60</v>
      </c>
    </row>
    <row r="3" spans="1:6" x14ac:dyDescent="0.2">
      <c r="A3" t="s">
        <v>61</v>
      </c>
      <c r="B3">
        <f>IF((SUM('Sheet 1'!B4:B23))=('Sheet 1'!B25),0,1)</f>
        <v>0</v>
      </c>
      <c r="C3">
        <f>IF(SUM('Sheet 1'!C4:C24)='Sheet 1'!C25,0,1)</f>
        <v>0</v>
      </c>
      <c r="E3">
        <f>IF(SUM('Sheet 1'!H4:H24)='Sheet 1'!H25,0,1)</f>
        <v>0</v>
      </c>
      <c r="F3">
        <f>IF(SUM('Sheet 1'!I4:I24)='Sheet 1'!I25,0,1)</f>
        <v>0</v>
      </c>
    </row>
    <row r="4" spans="1:6" x14ac:dyDescent="0.2">
      <c r="A4" t="s">
        <v>62</v>
      </c>
      <c r="B4">
        <f>IF(SUM('Sheet 1'!B25:B26)='Sheet 1'!B27,0,1)</f>
        <v>0</v>
      </c>
      <c r="C4">
        <f>IF(SUM('Sheet 1'!C25:C26)='Sheet 1'!C27,0,1)</f>
        <v>0</v>
      </c>
      <c r="E4">
        <f>IF(SUM('Sheet 1'!H25:H26)='Sheet 1'!H27,0,1)</f>
        <v>0</v>
      </c>
      <c r="F4">
        <f>IF(SUM('Sheet 1'!I25:I26)='Sheet 1'!I27,0,1)</f>
        <v>1</v>
      </c>
    </row>
    <row r="6" spans="1:6" x14ac:dyDescent="0.2">
      <c r="A6" t="s">
        <v>63</v>
      </c>
      <c r="E6">
        <f>IF(SUM('Sheet 1'!B36:B40)='Sheet 1'!H25,0,1)</f>
        <v>0</v>
      </c>
      <c r="F6">
        <f>IF(SUM('Sheet 1'!C36:C40)='Sheet 1'!I25,0,1)</f>
        <v>0</v>
      </c>
    </row>
    <row r="8" spans="1:6" x14ac:dyDescent="0.2">
      <c r="A8" t="s">
        <v>64</v>
      </c>
      <c r="B8">
        <f>IF('Sheet 1'!H35+'Sheet 1'!H41='Sheet 1'!B25,0,1)</f>
        <v>0</v>
      </c>
      <c r="C8">
        <f>IF('Sheet 1'!I35+'Sheet 1'!I41='Sheet 1'!C25,0,1)</f>
        <v>0</v>
      </c>
      <c r="E8">
        <f>IF('Sheet 1'!H34+'Sheet 1'!H40='Sheet 1'!H25,0,1)</f>
        <v>0</v>
      </c>
      <c r="F8">
        <f>IF('Sheet 1'!I34+'Sheet 1'!I40='Sheet 1'!I25,0,1)</f>
        <v>0</v>
      </c>
    </row>
  </sheetData>
  <phoneticPr fontId="5"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 1</vt:lpstr>
      <vt:lpstr>Chk</vt:lpstr>
      <vt:lpstr>'Sheet 1'!Print_Area</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2018-05-15T21:03:51Z</cp:lastPrinted>
  <dcterms:created xsi:type="dcterms:W3CDTF">2005-01-11T16:04:59Z</dcterms:created>
  <dcterms:modified xsi:type="dcterms:W3CDTF">2018-07-02T18:47:13Z</dcterms:modified>
</cp:coreProperties>
</file>